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50.xml" ContentType="application/vnd.openxmlformats-officedocument.spreadsheetml.revisionLog+xml"/>
  <Override PartName="/xl/revisions/revisionLog58.xml" ContentType="application/vnd.openxmlformats-officedocument.spreadsheetml.revisionLog+xml"/>
  <Override PartName="/xl/revisions/revisionLog11.xml" ContentType="application/vnd.openxmlformats-officedocument.spreadsheetml.revisionLog+xml"/>
  <Override PartName="/xl/revisions/revisionLog53.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52.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1.xml" ContentType="application/vnd.openxmlformats-officedocument.spreadsheetml.revisionLog+xml"/>
  <Override PartName="/xl/revisions/revisionLog13.xml" ContentType="application/vnd.openxmlformats-officedocument.spreadsheetml.revisionLog+xml"/>
  <Override PartName="/xl/revisions/revisionLog56.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2.xml" ContentType="application/vnd.openxmlformats-officedocument.spreadsheetml.revisionLog+xml"/>
  <Override PartName="/xl/revisions/revisionLog55.xml" ContentType="application/vnd.openxmlformats-officedocument.spreadsheetml.revisionLog+xml"/>
  <Override PartName="/xl/revisions/revisionLog60.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3.xml" ContentType="application/vnd.openxmlformats-officedocument.spreadsheetml.revisionLog+xml"/>
  <Override PartName="/xl/revisions/revisionLog59.xml" ContentType="application/vnd.openxmlformats-officedocument.spreadsheetml.revisionLog+xml"/>
  <Override PartName="/xl/revisions/revisionLog54.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rela.Cosovan\Desktop\Mirela Cosovan\POIM\POIM\COMUNICARE SI PUBLICITATE\Doc. trans. spre publicare\RAP. LUNARE\2018\ianuarie\"/>
    </mc:Choice>
  </mc:AlternateContent>
  <bookViews>
    <workbookView xWindow="0" yWindow="0" windowWidth="28800" windowHeight="12435" activeTab="1"/>
  </bookViews>
  <sheets>
    <sheet name="Chart2" sheetId="1" r:id="rId1"/>
    <sheet name="Contracte semnate" sheetId="2" r:id="rId2"/>
  </sheets>
  <externalReferences>
    <externalReference r:id="rId3"/>
    <externalReference r:id="rId4"/>
  </externalReferences>
  <definedNames>
    <definedName name="_xlnm._FilterDatabase" localSheetId="1" hidden="1">'Contracte semnate'!$B$7:$AC$203</definedName>
    <definedName name="SPBookmark_Regiune" localSheetId="1">'Contracte semnate'!$F$181</definedName>
    <definedName name="Z_000BFA1A_266F_4D10_A09E_5A7B0D134F58_.wvu.FilterData" localSheetId="1" hidden="1">'Contracte semnate'!$B$7:$Z$203</definedName>
    <definedName name="Z_08ABD1B6_502E_42CC_A0EF_58776D0102FE_.wvu.FilterData" localSheetId="1" hidden="1">'Contracte semnate'!$B$7:$AC$203</definedName>
    <definedName name="Z_0E2002C0_88DC_479A_B983_CA340E3274B8_.wvu.FilterData" localSheetId="1" hidden="1">'Contracte semnate'!$B$9:$Z$203</definedName>
    <definedName name="Z_0F598BC0_9523_4AD3_94A3_BDEC8367FE11_.wvu.Cols" localSheetId="1" hidden="1">'Contracte semnate'!$E:$E,'Contracte semnate'!$Q:$Q</definedName>
    <definedName name="Z_0F598BC0_9523_4AD3_94A3_BDEC8367FE11_.wvu.FilterData" localSheetId="1" hidden="1">'Contracte semnate'!$B$7:$Z$203</definedName>
    <definedName name="Z_216972B4_771A_4607_A8B4_AC73D5CD6C1A_.wvu.Cols" localSheetId="1" hidden="1">'Contracte semnate'!$E:$E,'Contracte semnate'!$Q:$Q</definedName>
    <definedName name="Z_2234C728_15E1_4BAF_98DE_620726961552_.wvu.Cols" localSheetId="1" hidden="1">'Contracte semnate'!$E:$E,'Contracte semnate'!$Q:$Q</definedName>
    <definedName name="Z_35953204_B2E4_4670_8547_4A661864E61F_.wvu.FilterData" localSheetId="1" hidden="1">'Contracte semnate'!$B$7:$Z$203</definedName>
    <definedName name="Z_3EBF2DB4_84D7_478D_9896_C4DA08B65D0C_.wvu.Cols" localSheetId="1" hidden="1">'Contracte semnate'!$E:$E,'Contracte semnate'!$Q:$Q</definedName>
    <definedName name="Z_3EBF2DB4_84D7_478D_9896_C4DA08B65D0C_.wvu.FilterData" localSheetId="1" hidden="1">'Contracte semnate'!$B$7:$Z$203</definedName>
    <definedName name="Z_413D6799_9F75_47FF_8A9E_5CB9283B7BBE_.wvu.Cols" localSheetId="1" hidden="1">'Contracte semnate'!$E:$E,'Contracte semnate'!$Q:$Q</definedName>
    <definedName name="Z_413D6799_9F75_47FF_8A9E_5CB9283B7BBE_.wvu.FilterData" localSheetId="1" hidden="1">'Contracte semnate'!$B$7:$Z$203</definedName>
    <definedName name="Z_437FD6EF_32B2_4DE0_BA89_93A7E3EF04C5_.wvu.Cols" localSheetId="1" hidden="1">'Contracte semnate'!$E:$E,'Contracte semnate'!$Q:$Q</definedName>
    <definedName name="Z_44703FDB_B351_4F62_ABCF_EAA35D25F82B_.wvu.FilterData" localSheetId="1" hidden="1">'Contracte semnate'!$B$7:$Z$203</definedName>
    <definedName name="Z_61C44EA8_4687_4D4E_A1ED_359DF81A71FB_.wvu.Cols" localSheetId="1" hidden="1">'Contracte semnate'!$E:$E,'Contracte semnate'!$Q:$Q</definedName>
    <definedName name="Z_61C44EA8_4687_4D4E_A1ED_359DF81A71FB_.wvu.FilterData" localSheetId="1" hidden="1">'Contracte semnate'!$B$7:$Z$203</definedName>
    <definedName name="Z_64D2264B_4E86_4FBB_93B3_BEE727888DFE_.wvu.Cols" localSheetId="1" hidden="1">'Contracte semnate'!$E:$E,'Contracte semnate'!$Q:$Q</definedName>
    <definedName name="Z_6CC2252D_4676_4063_B0C5_167B37D80642_.wvu.FilterData" localSheetId="1" hidden="1">'Contracte semnate'!$B$7:$Z$203</definedName>
    <definedName name="Z_79FA8BE5_7D13_4EF3_B35A_76ACF1C0DF3C_.wvu.Cols" localSheetId="1" hidden="1">'Contracte semnate'!$E:$E,'Contracte semnate'!$Q:$Q</definedName>
    <definedName name="Z_83337B45_5054_4200_BF9E_4E1DC1896214_.wvu.Cols" localSheetId="1" hidden="1">'Contracte semnate'!$E:$E,'Contracte semnate'!$Q:$Q</definedName>
    <definedName name="Z_83337B45_5054_4200_BF9E_4E1DC1896214_.wvu.FilterData" localSheetId="1" hidden="1">'Contracte semnate'!$B$7:$Z$203</definedName>
    <definedName name="Z_8453577A_926D_4217_8932_6FE8F46A5D63_.wvu.FilterData" localSheetId="1" hidden="1">'Contracte semnate'!$B$7:$Z$203</definedName>
    <definedName name="Z_8C9F1640_F09D_482C_9468_7B83F0B08D65_.wvu.FilterData" localSheetId="1" hidden="1">'Contracte semnate'!$B$7:$Z$203</definedName>
    <definedName name="Z_90832C92_F64A_47A3_B902_442B1A066F81_.wvu.FilterData" localSheetId="1" hidden="1">'Contracte semnate'!$B$7:$Z$203</definedName>
    <definedName name="Z_9E851A6A_17B1_4E6F_A007_493445D427B8_.wvu.Cols" localSheetId="1" hidden="1">'Contracte semnate'!$E:$E,'Contracte semnate'!$Q:$Q</definedName>
    <definedName name="Z_9E851A6A_17B1_4E6F_A007_493445D427B8_.wvu.FilterData" localSheetId="1" hidden="1">'Contracte semnate'!$B$7:$Z$203</definedName>
    <definedName name="Z_B8EFA5E8_2E8C_450C_9395_D582737418AA_.wvu.Cols" localSheetId="1" hidden="1">'Contracte semnate'!$E:$E,'Contracte semnate'!$Q:$Q</definedName>
    <definedName name="Z_C4F2F848_6ED7_4758_A2CE_FBAC69284179_.wvu.FilterData" localSheetId="1" hidden="1">'Contracte semnate'!$B$7:$Z$203</definedName>
    <definedName name="Z_CA5BAC36_7E1D_42E0_9796_DFA0CE58E1BF_.wvu.FilterData" localSheetId="1" hidden="1">'Contracte semnate'!$B$7:$Z$203</definedName>
    <definedName name="Z_DB90939E_72BD_4CED_BFB6_BD74FF913DB3_.wvu.Cols" localSheetId="1" hidden="1">'Contracte semnate'!$E:$E,'Contracte semnate'!$Q:$Q</definedName>
    <definedName name="Z_DB90939E_72BD_4CED_BFB6_BD74FF913DB3_.wvu.FilterData" localSheetId="1" hidden="1">'Contracte semnate'!$B$7:$Z$203</definedName>
    <definedName name="Z_E10820C0_32CD_441A_8635_65479FE7CBA3_.wvu.Cols" localSheetId="1" hidden="1">'Contracte semnate'!$E:$E,'Contracte semnate'!$Q:$Q</definedName>
    <definedName name="Z_E1C13DC2_98C2_4597_8D1A_C9F2C3CA60EC_.wvu.Cols" localSheetId="1" hidden="1">'Contracte semnate'!$E:$E,'Contracte semnate'!$Q:$Q</definedName>
    <definedName name="Z_E4462EA5_1112_4F42_BE37_A867D6FC853C_.wvu.Cols" localSheetId="1" hidden="1">'Contracte semnate'!$E:$E,'Contracte semnate'!$Q:$Q</definedName>
    <definedName name="Z_E4462EA5_1112_4F42_BE37_A867D6FC853C_.wvu.FilterData" localSheetId="1" hidden="1">'Contracte semnate'!$B$7:$Z$203</definedName>
    <definedName name="Z_ECCC7D97_A0C3_4C50_BA03_A8D24BCD22BE_.wvu.Cols" localSheetId="1" hidden="1">'Contracte semnate'!$E:$E,'Contracte semnate'!$Q:$Q</definedName>
    <definedName name="Z_ECCC7D97_A0C3_4C50_BA03_A8D24BCD22BE_.wvu.FilterData" localSheetId="1" hidden="1">'Contracte semnate'!$B$7:$Z$203</definedName>
    <definedName name="Z_F36299A5_78E0_4C52_B3A4_19855E6D3EFF_.wvu.FilterData" localSheetId="1" hidden="1">'Contracte semnate'!$B$7:$Z$203</definedName>
    <definedName name="Z_F4C96D22_891C_4B3C_B57B_7878195B2E7E_.wvu.FilterData" localSheetId="1" hidden="1">'Contracte semnate'!$B$7:$AC$203</definedName>
  </definedNames>
  <calcPr calcId="152511"/>
  <customWorkbookViews>
    <customWorkbookView name="Mirela Cosovan - Personal View" guid="{08ABD1B6-502E-42CC-A0EF-58776D0102FE}" mergeInterval="0" personalView="1" maximized="1" xWindow="-8" yWindow="-8" windowWidth="1936" windowHeight="1056" activeSheetId="2"/>
    <customWorkbookView name="Mariana Nanu - Personal View" guid="{0E2002C0-88DC-479A-B983-CA340E3274B8}" mergeInterval="0" personalView="1" maximized="1" xWindow="-8" yWindow="-8" windowWidth="1936" windowHeight="1056" activeSheetId="2"/>
    <customWorkbookView name="Luminita Vaida - Personal View" guid="{0F598BC0-9523-4AD3-94A3-BDEC8367FE11}" mergeInterval="0" personalView="1" maximized="1" xWindow="-9" yWindow="-9" windowWidth="1938" windowHeight="1050" activeSheetId="2"/>
    <customWorkbookView name="Alexandra.Conachi - Vedere personală" guid="{61C44EA8-4687-4D4E-A1ED-359DF81A71FB}" mergeInterval="0" personalView="1" maximized="1" xWindow="-8" yWindow="-8" windowWidth="1382" windowHeight="744" activeSheetId="2"/>
    <customWorkbookView name="Alice Iordache - Personal View" guid="{B8EFA5E8-2E8C-450C-9395-D582737418AA}" mergeInterval="0" personalView="1" maximized="1" xWindow="-8" yWindow="-8" windowWidth="1936" windowHeight="1056" activeSheetId="2"/>
    <customWorkbookView name="Gabriela Dugoiasu - Personal View" guid="{216972B4-771A-4607-A8B4-AC73D5CD6C1A}" mergeInterval="0" personalView="1" maximized="1" xWindow="-8" yWindow="-8" windowWidth="1936" windowHeight="1056" activeSheetId="2"/>
    <customWorkbookView name="Corina Cosma - Personal View" guid="{64D2264B-4E86-4FBB-93B3-BEE727888DFE}" mergeInterval="0" personalView="1" maximized="1" xWindow="-8" yWindow="-8" windowWidth="1382" windowHeight="744" activeSheetId="2"/>
    <customWorkbookView name="Cosmina Popescu - Personal View" guid="{79FA8BE5-7D13-4EF3-B35A-76ACF1C0DF3C}" mergeInterval="0" personalView="1" maximized="1" xWindow="1358" yWindow="-8" windowWidth="1936" windowHeight="1056" activeSheetId="2"/>
    <customWorkbookView name="Ionut Burlacel - Personal View" guid="{E1C13DC2-98C2-4597-8D1A-C9F2C3CA60EC}" mergeInterval="0" personalView="1" maximized="1" xWindow="-8" yWindow="-8" windowWidth="1616" windowHeight="876" activeSheetId="2"/>
    <customWorkbookView name="Camelia Burdia - Personal View" guid="{E10820C0-32CD-441A-8635-65479FE7CBA3}" mergeInterval="0" personalView="1" maximized="1" xWindow="-8" yWindow="-8" windowWidth="1552" windowHeight="848" activeSheetId="2"/>
    <customWorkbookView name="Ioana.Gheorghiu - Vedere personală" guid="{2234C728-15E1-4BAF-98DE-620726961552}" mergeInterval="0" personalView="1" maximized="1" xWindow="1" yWindow="1" windowWidth="1817" windowHeight="759" activeSheetId="2"/>
    <customWorkbookView name="Figan Dobrin - Personal View" guid="{3EBF2DB4-84D7-478D-9896-C4DA08B65D0C}" mergeInterval="0" personalView="1" maximized="1" xWindow="-9" yWindow="-9" windowWidth="1938" windowHeight="1000" activeSheetId="2"/>
    <customWorkbookView name="CALIN.SOVEJA - Vedere personală" guid="{437FD6EF-32B2-4DE0-BA89-93A7E3EF04C5}" mergeInterval="0" personalView="1" xWindow="95" windowWidth="1160" windowHeight="726" activeSheetId="2"/>
    <customWorkbookView name="Mihai Belea - Personal View" guid="{83337B45-5054-4200-BF9E-4E1DC1896214}" mergeInterval="0" personalView="1" maximized="1" xWindow="-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arius Lupea - Personal View" guid="{DB90939E-72BD-4CED-BFB6-BD74FF913DB3}" mergeInterval="0" personalView="1" maximized="1" xWindow="1358" yWindow="-8" windowWidth="1936" windowHeight="1056" activeSheetId="2"/>
    <customWorkbookView name="Corina Iliescu - Personal View" guid="{413D6799-9F75-47FF-8A9E-5CB9283B7BBE}" mergeInterval="0" personalView="1" maximized="1" xWindow="-8" yWindow="-8" windowWidth="1382" windowHeight="744" activeSheetId="2"/>
    <customWorkbookView name="Cosmin Feodorov - Personal View" guid="{E4462EA5-1112-4F42-BE37-A867D6FC853C}" mergeInterval="0" personalView="1" maximized="1" xWindow="-8" yWindow="-8" windowWidth="1936" windowHeight="1066" activeSheetId="2"/>
    <customWorkbookView name="Florin Chiritescu - Personal View" guid="{ECCC7D97-A0C3-4C50-BA03-A8D24BCD22BE}" mergeInterval="0" personalView="1" xWindow="2667" yWindow="11" windowWidth="441" windowHeight="526" activeSheetId="2"/>
    <customWorkbookView name="Daniela Ionela Cirlig - Personal View" guid="{F4C96D22-891C-4B3C-B57B-7878195B2E7E}" mergeInterval="0" personalView="1" maximized="1" windowWidth="1676" windowHeight="825" activeSheetId="2"/>
  </customWorkbookViews>
</workbook>
</file>

<file path=xl/calcChain.xml><?xml version="1.0" encoding="utf-8"?>
<calcChain xmlns="http://schemas.openxmlformats.org/spreadsheetml/2006/main">
  <c r="Z202" i="2" l="1"/>
  <c r="S142" i="2" l="1"/>
  <c r="S49" i="2" l="1"/>
  <c r="T49" i="2"/>
  <c r="U49" i="2"/>
  <c r="V49" i="2"/>
  <c r="W48" i="2"/>
  <c r="Q48" i="2"/>
  <c r="R49" i="2"/>
  <c r="S193" i="2" l="1"/>
  <c r="T193" i="2"/>
  <c r="U193" i="2"/>
  <c r="V193" i="2"/>
  <c r="R193" i="2"/>
  <c r="W177" i="2" l="1"/>
  <c r="Q177" i="2"/>
  <c r="S178" i="2"/>
  <c r="T178" i="2"/>
  <c r="U178" i="2"/>
  <c r="V178" i="2"/>
  <c r="R178" i="2"/>
  <c r="S197" i="2"/>
  <c r="S198" i="2" s="1"/>
  <c r="T197" i="2"/>
  <c r="T198" i="2" s="1"/>
  <c r="U197" i="2"/>
  <c r="U198" i="2" s="1"/>
  <c r="V197" i="2"/>
  <c r="V198" i="2" s="1"/>
  <c r="R197" i="2"/>
  <c r="R198" i="2" s="1"/>
  <c r="W196" i="2"/>
  <c r="Q71" i="2"/>
  <c r="Q196" i="2"/>
  <c r="C196" i="2"/>
  <c r="B185" i="2"/>
  <c r="B187" i="2" s="1"/>
  <c r="T142" i="2"/>
  <c r="U142" i="2"/>
  <c r="V142" i="2"/>
  <c r="Q140" i="2"/>
  <c r="Q141" i="2"/>
  <c r="W141" i="2"/>
  <c r="R142" i="2"/>
  <c r="S186" i="2"/>
  <c r="T186" i="2"/>
  <c r="U186" i="2"/>
  <c r="V186" i="2"/>
  <c r="R186" i="2"/>
  <c r="W185" i="2"/>
  <c r="Q185" i="2"/>
  <c r="W140" i="2"/>
  <c r="W192" i="2"/>
  <c r="W193" i="2" s="1"/>
  <c r="Q192" i="2"/>
  <c r="Q193" i="2" s="1"/>
  <c r="Y202" i="2" l="1"/>
  <c r="Z188" i="2"/>
  <c r="Y188" i="2"/>
  <c r="Z175" i="2"/>
  <c r="Y175" i="2"/>
  <c r="Z168" i="2"/>
  <c r="Y168" i="2"/>
  <c r="Z130" i="2"/>
  <c r="Y130" i="2"/>
  <c r="Z123" i="2"/>
  <c r="Y123" i="2"/>
  <c r="Z98" i="2"/>
  <c r="Y98" i="2"/>
  <c r="Z47" i="2"/>
  <c r="Y47" i="2"/>
  <c r="Z40" i="2"/>
  <c r="Y40" i="2"/>
  <c r="T206" i="2" l="1"/>
  <c r="Q195" i="2" l="1"/>
  <c r="W195" i="2"/>
  <c r="Q194" i="2"/>
  <c r="W194" i="2"/>
  <c r="Q34" i="2"/>
  <c r="W197" i="2" l="1"/>
  <c r="W198" i="2" s="1"/>
  <c r="Q197" i="2"/>
  <c r="Q198" i="2" s="1"/>
  <c r="C195" i="2"/>
  <c r="Q184" i="2" l="1"/>
  <c r="Z186" i="2"/>
  <c r="Y186" i="2"/>
  <c r="W184" i="2"/>
  <c r="W186" i="2" s="1"/>
  <c r="Q186" i="2" l="1"/>
  <c r="Q74" i="2"/>
  <c r="W74" i="2"/>
  <c r="Z75" i="2"/>
  <c r="Y75" i="2"/>
  <c r="Z197" i="2"/>
  <c r="Y197" i="2"/>
  <c r="C194" i="2" l="1"/>
  <c r="Z142" i="2" l="1"/>
  <c r="Y142" i="2"/>
  <c r="W139" i="2"/>
  <c r="Q139" i="2"/>
  <c r="Z26" i="2"/>
  <c r="Y26" i="2"/>
  <c r="S26" i="2"/>
  <c r="T26" i="2"/>
  <c r="U26" i="2"/>
  <c r="V26" i="2"/>
  <c r="R26" i="2"/>
  <c r="W25" i="2"/>
  <c r="Q25" i="2"/>
  <c r="S16" i="2"/>
  <c r="T16" i="2"/>
  <c r="U16" i="2"/>
  <c r="V16" i="2"/>
  <c r="Y16" i="2"/>
  <c r="Z16" i="2"/>
  <c r="R16" i="2"/>
  <c r="Q15" i="2"/>
  <c r="W15" i="2"/>
  <c r="C15" i="2"/>
  <c r="S21" i="2" l="1"/>
  <c r="T21" i="2"/>
  <c r="U21" i="2"/>
  <c r="V21" i="2"/>
  <c r="Y21" i="2"/>
  <c r="Y27" i="2" s="1"/>
  <c r="Z21" i="2"/>
  <c r="R21" i="2"/>
  <c r="R27" i="2" s="1"/>
  <c r="Q175" i="2" l="1"/>
  <c r="T39" i="2" l="1"/>
  <c r="Q20" i="2" l="1"/>
  <c r="Q73" i="2" l="1"/>
  <c r="W73" i="2"/>
  <c r="Y178" i="2"/>
  <c r="Z178" i="2"/>
  <c r="W176" i="2"/>
  <c r="Q176" i="2"/>
  <c r="S39" i="2"/>
  <c r="U39" i="2"/>
  <c r="V39" i="2"/>
  <c r="Y39" i="2"/>
  <c r="Z39" i="2"/>
  <c r="R39" i="2"/>
  <c r="W20" i="2"/>
  <c r="Q38" i="2"/>
  <c r="W38" i="2"/>
  <c r="W138" i="2"/>
  <c r="Q138" i="2"/>
  <c r="B41" i="2"/>
  <c r="B42" i="2" s="1"/>
  <c r="Q19" i="2"/>
  <c r="W19" i="2"/>
  <c r="W137" i="2" l="1"/>
  <c r="Q137" i="2"/>
  <c r="W72" i="2"/>
  <c r="Q72" i="2"/>
  <c r="W106" i="2" l="1"/>
  <c r="W13" i="2" l="1"/>
  <c r="W136" i="2" l="1"/>
  <c r="Q136" i="2"/>
  <c r="W135" i="2"/>
  <c r="Q135" i="2"/>
  <c r="W71" i="2" l="1"/>
  <c r="W134" i="2"/>
  <c r="Q134" i="2"/>
  <c r="W133" i="2"/>
  <c r="Q133" i="2"/>
  <c r="U181" i="2"/>
  <c r="W175" i="2"/>
  <c r="W174" i="2"/>
  <c r="Q174" i="2"/>
  <c r="Q173" i="2"/>
  <c r="W173" i="2"/>
  <c r="W172" i="2" l="1"/>
  <c r="Q172" i="2"/>
  <c r="W51" i="2"/>
  <c r="W52" i="2"/>
  <c r="W53" i="2"/>
  <c r="W54" i="2"/>
  <c r="W47" i="2"/>
  <c r="W46" i="2"/>
  <c r="R61" i="2"/>
  <c r="R62" i="2"/>
  <c r="S61" i="2"/>
  <c r="S62" i="2"/>
  <c r="T61" i="2"/>
  <c r="T62" i="2"/>
  <c r="S201" i="2"/>
  <c r="S202" i="2" s="1"/>
  <c r="T201" i="2"/>
  <c r="T202" i="2" s="1"/>
  <c r="U201" i="2"/>
  <c r="U202" i="2" s="1"/>
  <c r="V201" i="2"/>
  <c r="V202" i="2" s="1"/>
  <c r="R201" i="2"/>
  <c r="R202" i="2" s="1"/>
  <c r="W200" i="2"/>
  <c r="Q200"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Q171"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Q132" i="2"/>
  <c r="B180" i="2"/>
  <c r="B188" i="2" s="1"/>
  <c r="B192" i="2" s="1"/>
  <c r="B194" i="2" s="1"/>
  <c r="B195" i="2" s="1"/>
  <c r="B196" i="2" s="1"/>
  <c r="B199" i="2" s="1"/>
  <c r="B200" i="2" s="1"/>
  <c r="T45" i="2"/>
  <c r="Y55" i="2"/>
  <c r="Z55" i="2"/>
  <c r="Z49" i="2"/>
  <c r="S181" i="2"/>
  <c r="S182" i="2" s="1"/>
  <c r="T181" i="2"/>
  <c r="T182" i="2" s="1"/>
  <c r="V181" i="2"/>
  <c r="V182" i="2" s="1"/>
  <c r="W179" i="2"/>
  <c r="W180" i="2"/>
  <c r="Y181" i="2"/>
  <c r="Z181" i="2"/>
  <c r="R181" i="2"/>
  <c r="R182" i="2" s="1"/>
  <c r="Q180" i="2"/>
  <c r="Q131" i="2"/>
  <c r="B44" i="2"/>
  <c r="B46" i="2" s="1"/>
  <c r="B47" i="2" s="1"/>
  <c r="S43" i="2"/>
  <c r="T43" i="2"/>
  <c r="U43" i="2"/>
  <c r="V43" i="2"/>
  <c r="Y43" i="2"/>
  <c r="Z43" i="2"/>
  <c r="Q42" i="2"/>
  <c r="W42" i="2"/>
  <c r="R43" i="2"/>
  <c r="S70" i="2"/>
  <c r="Q70" i="2" s="1"/>
  <c r="W41" i="2"/>
  <c r="Q41" i="2"/>
  <c r="AB178" i="2"/>
  <c r="AB142" i="2"/>
  <c r="AC17" i="2"/>
  <c r="W37" i="2"/>
  <c r="Q37" i="2"/>
  <c r="Q130" i="2"/>
  <c r="Y49" i="2"/>
  <c r="Q46" i="2"/>
  <c r="Q47" i="2"/>
  <c r="Z189" i="2"/>
  <c r="Z190" i="2" s="1"/>
  <c r="Y189" i="2"/>
  <c r="Y190" i="2" s="1"/>
  <c r="Z45" i="2"/>
  <c r="Y45" i="2"/>
  <c r="W29" i="2"/>
  <c r="W30" i="2"/>
  <c r="W31" i="2"/>
  <c r="W32" i="2"/>
  <c r="W33" i="2"/>
  <c r="W34" i="2"/>
  <c r="W35" i="2"/>
  <c r="W36" i="2"/>
  <c r="Q129" i="2"/>
  <c r="Q170" i="2"/>
  <c r="Q169" i="2"/>
  <c r="W67" i="2"/>
  <c r="W68" i="2"/>
  <c r="W69" i="2"/>
  <c r="W50" i="2"/>
  <c r="Q128" i="2"/>
  <c r="Q109" i="2"/>
  <c r="Q14" i="2"/>
  <c r="Q17" i="2"/>
  <c r="Q18" i="2"/>
  <c r="Q22" i="2"/>
  <c r="Q23" i="2"/>
  <c r="Q24" i="2"/>
  <c r="Q29" i="2"/>
  <c r="Q30" i="2"/>
  <c r="Q31" i="2"/>
  <c r="Q32" i="2"/>
  <c r="Q33" i="2"/>
  <c r="Q35" i="2"/>
  <c r="Q36" i="2"/>
  <c r="Q40" i="2"/>
  <c r="Q44" i="2"/>
  <c r="R45" i="2"/>
  <c r="S45" i="2"/>
  <c r="Q50" i="2"/>
  <c r="Q51" i="2"/>
  <c r="Q52" i="2"/>
  <c r="Q53" i="2"/>
  <c r="Q54" i="2"/>
  <c r="R55" i="2"/>
  <c r="S55" i="2"/>
  <c r="T55" i="2"/>
  <c r="Q58" i="2"/>
  <c r="Q59" i="2"/>
  <c r="Q60" i="2"/>
  <c r="Q63" i="2"/>
  <c r="Q64" i="2"/>
  <c r="Q65" i="2"/>
  <c r="Q66" i="2"/>
  <c r="Q67" i="2"/>
  <c r="Q68" i="2"/>
  <c r="Q69"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10" i="2"/>
  <c r="Q111" i="2"/>
  <c r="Q112" i="2"/>
  <c r="Q113" i="2"/>
  <c r="Q114" i="2"/>
  <c r="Q115" i="2"/>
  <c r="Q116" i="2"/>
  <c r="Q117" i="2"/>
  <c r="Q118" i="2"/>
  <c r="Q119" i="2"/>
  <c r="Q120" i="2"/>
  <c r="Q121" i="2"/>
  <c r="Q122" i="2"/>
  <c r="Q123" i="2"/>
  <c r="Q124" i="2"/>
  <c r="Q125" i="2"/>
  <c r="Q126" i="2"/>
  <c r="Q127" i="2"/>
  <c r="Q145" i="2"/>
  <c r="Q146" i="2"/>
  <c r="Q147" i="2"/>
  <c r="Q148" i="2"/>
  <c r="Q149" i="2"/>
  <c r="Q150" i="2"/>
  <c r="Q151" i="2"/>
  <c r="Q152" i="2"/>
  <c r="Q153" i="2"/>
  <c r="Q154" i="2"/>
  <c r="Q155" i="2"/>
  <c r="Q156" i="2"/>
  <c r="Q157" i="2"/>
  <c r="Q158" i="2"/>
  <c r="Q159" i="2"/>
  <c r="Q160" i="2"/>
  <c r="Q161" i="2"/>
  <c r="Q162" i="2"/>
  <c r="Q163" i="2"/>
  <c r="Q164" i="2"/>
  <c r="Q165" i="2"/>
  <c r="Q166" i="2"/>
  <c r="Q167" i="2"/>
  <c r="Q168" i="2"/>
  <c r="Q179" i="2"/>
  <c r="Q187" i="2"/>
  <c r="Q188" i="2"/>
  <c r="R189" i="2"/>
  <c r="R190" i="2" s="1"/>
  <c r="S189" i="2"/>
  <c r="S190" i="2" s="1"/>
  <c r="T189" i="2"/>
  <c r="T190" i="2" s="1"/>
  <c r="Q199" i="2"/>
  <c r="Q13" i="2"/>
  <c r="W40" i="2"/>
  <c r="U55" i="2"/>
  <c r="V55" i="2"/>
  <c r="W23" i="2"/>
  <c r="W24" i="2"/>
  <c r="W22" i="2"/>
  <c r="W18" i="2"/>
  <c r="W17" i="2"/>
  <c r="W14" i="2"/>
  <c r="W16" i="2" s="1"/>
  <c r="B14" i="2"/>
  <c r="B18" i="2" s="1"/>
  <c r="U45" i="2"/>
  <c r="V45" i="2"/>
  <c r="U182" i="2"/>
  <c r="W66" i="2"/>
  <c r="W199" i="2"/>
  <c r="W187" i="2"/>
  <c r="W188" i="2"/>
  <c r="W59" i="2"/>
  <c r="W60" i="2"/>
  <c r="W63" i="2"/>
  <c r="W65" i="2"/>
  <c r="W58" i="2"/>
  <c r="V64" i="2"/>
  <c r="W64" i="2" s="1"/>
  <c r="V189" i="2"/>
  <c r="V190" i="2" s="1"/>
  <c r="U189" i="2"/>
  <c r="U190" i="2" s="1"/>
  <c r="V61" i="2"/>
  <c r="V62" i="2"/>
  <c r="U61" i="2"/>
  <c r="U62" i="2"/>
  <c r="W44" i="2"/>
  <c r="W45" i="2" s="1"/>
  <c r="D62" i="2"/>
  <c r="D61" i="2"/>
  <c r="Q142" i="2"/>
  <c r="Q178" i="2"/>
  <c r="T205" i="2"/>
  <c r="W49" i="2" l="1"/>
  <c r="Q49" i="2"/>
  <c r="B51" i="2"/>
  <c r="B52" i="2" s="1"/>
  <c r="B53" i="2" s="1"/>
  <c r="B54" i="2" s="1"/>
  <c r="B58" i="2" s="1"/>
  <c r="B59" i="2" s="1"/>
  <c r="B60" i="2" s="1"/>
  <c r="B61" i="2" s="1"/>
  <c r="B62" i="2" s="1"/>
  <c r="B63" i="2" s="1"/>
  <c r="B64" i="2" s="1"/>
  <c r="B65" i="2" s="1"/>
  <c r="B66" i="2" s="1"/>
  <c r="B67" i="2" s="1"/>
  <c r="B68" i="2" s="1"/>
  <c r="B69" i="2" s="1"/>
  <c r="B70" i="2" s="1"/>
  <c r="B71" i="2" s="1"/>
  <c r="B72" i="2" s="1"/>
  <c r="B73" i="2" s="1"/>
  <c r="B74" i="2" s="1"/>
  <c r="B48" i="2"/>
  <c r="W178" i="2"/>
  <c r="W142" i="2"/>
  <c r="S75" i="2"/>
  <c r="S143" i="2" s="1"/>
  <c r="T75" i="2"/>
  <c r="T143" i="2" s="1"/>
  <c r="V75" i="2"/>
  <c r="V143" i="2" s="1"/>
  <c r="B23" i="2"/>
  <c r="B24" i="2" s="1"/>
  <c r="B25" i="2" s="1"/>
  <c r="B19" i="2"/>
  <c r="B20" i="2" s="1"/>
  <c r="R56" i="2"/>
  <c r="U75" i="2"/>
  <c r="U143" i="2" s="1"/>
  <c r="R75" i="2"/>
  <c r="R143" i="2" s="1"/>
  <c r="B30" i="2"/>
  <c r="B31" i="2" s="1"/>
  <c r="B32" i="2" s="1"/>
  <c r="B33" i="2" s="1"/>
  <c r="B34" i="2" s="1"/>
  <c r="B35" i="2" s="1"/>
  <c r="B36" i="2" s="1"/>
  <c r="B37" i="2" s="1"/>
  <c r="B38" i="2" s="1"/>
  <c r="W26" i="2"/>
  <c r="W21" i="2"/>
  <c r="W70" i="2"/>
  <c r="W39" i="2"/>
  <c r="S56" i="2"/>
  <c r="Q201" i="2"/>
  <c r="Q202" i="2" s="1"/>
  <c r="T27" i="2"/>
  <c r="W201" i="2"/>
  <c r="W202" i="2" s="1"/>
  <c r="W189" i="2"/>
  <c r="W190" i="2" s="1"/>
  <c r="Q16" i="2"/>
  <c r="V27" i="2"/>
  <c r="T56" i="2"/>
  <c r="V56" i="2"/>
  <c r="Q43" i="2"/>
  <c r="S27" i="2"/>
  <c r="Q39" i="2"/>
  <c r="Y56" i="2"/>
  <c r="Z56" i="2"/>
  <c r="B77" i="2"/>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U27" i="2"/>
  <c r="Z27" i="2"/>
  <c r="U56" i="2"/>
  <c r="Q55" i="2"/>
  <c r="Q45" i="2"/>
  <c r="Q26" i="2"/>
  <c r="Q189" i="2"/>
  <c r="Q190" i="2" s="1"/>
  <c r="Y143" i="2"/>
  <c r="Y182" i="2"/>
  <c r="Z182" i="2"/>
  <c r="Z143" i="2"/>
  <c r="W55" i="2"/>
  <c r="Q62" i="2"/>
  <c r="W61" i="2"/>
  <c r="Q61" i="2"/>
  <c r="W43" i="2"/>
  <c r="W181" i="2"/>
  <c r="Q182" i="2"/>
  <c r="Q181" i="2"/>
  <c r="W62" i="2"/>
  <c r="Z203" i="2" l="1"/>
  <c r="Y203" i="2"/>
  <c r="R203" i="2"/>
  <c r="S203" i="2"/>
  <c r="U203" i="2"/>
  <c r="V203" i="2"/>
  <c r="T203" i="2"/>
  <c r="W75" i="2"/>
  <c r="W143" i="2" s="1"/>
  <c r="Q56" i="2"/>
  <c r="W182" i="2"/>
  <c r="W27" i="2"/>
  <c r="W56" i="2"/>
  <c r="Q75" i="2"/>
  <c r="Q143" i="2"/>
  <c r="Q203" i="2" l="1"/>
  <c r="W203" i="2"/>
  <c r="B146" i="2"/>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Q21" i="2"/>
  <c r="R205" i="2" l="1"/>
  <c r="Q27" i="2"/>
</calcChain>
</file>

<file path=xl/comments1.xml><?xml version="1.0" encoding="utf-8"?>
<comments xmlns="http://schemas.openxmlformats.org/spreadsheetml/2006/main">
  <authors>
    <author>Daniela Ionela Cirlig</author>
  </authors>
  <commentList>
    <comment ref="E98" authorId="0" guid="{3E22C94D-618E-4B9D-95BE-AFCEB5EC68CA}" shapeId="0">
      <text>
        <r>
          <rPr>
            <b/>
            <sz val="9"/>
            <color indexed="81"/>
            <rFont val="Tahoma"/>
            <family val="2"/>
            <charset val="238"/>
          </rPr>
          <t>Daniela Ionela Cirlig:</t>
        </r>
        <r>
          <rPr>
            <sz val="9"/>
            <color indexed="81"/>
            <rFont val="Tahoma"/>
            <family val="2"/>
            <charset val="238"/>
          </rPr>
          <t xml:space="preserve">
curs euro in 16 febr = 4,5226</t>
        </r>
      </text>
    </comment>
  </commentList>
</comments>
</file>

<file path=xl/sharedStrings.xml><?xml version="1.0" encoding="utf-8"?>
<sst xmlns="http://schemas.openxmlformats.org/spreadsheetml/2006/main" count="1694" uniqueCount="734">
  <si>
    <t>TOTAL</t>
  </si>
  <si>
    <t>„Răspunsul eficient salvează vieţi II”</t>
  </si>
  <si>
    <t>IGSU</t>
  </si>
  <si>
    <t>AP 5</t>
  </si>
  <si>
    <t>Axa prioritară 3. Dezvoltarea infrastructurii de mediu în condiții de management eficient al resurselor, Obiectivul Specific 3.1. Reducerea numărului depozitelor neconforme şi creşterea gradului de pregătire pentru reciclare a deşeurilor în România</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</si>
  <si>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</si>
  <si>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</si>
  <si>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</si>
  <si>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</si>
  <si>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</si>
  <si>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</si>
  <si>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</si>
  <si>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</si>
  <si>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</si>
  <si>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</si>
  <si>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</si>
  <si>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</si>
  <si>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</si>
  <si>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</si>
  <si>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</si>
  <si>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</si>
  <si>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</si>
  <si>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</si>
  <si>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</si>
  <si>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</si>
  <si>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</si>
  <si>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</si>
  <si>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</si>
  <si>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</si>
  <si>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</si>
  <si>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</si>
  <si>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</si>
  <si>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</si>
  <si>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</si>
  <si>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</si>
  <si>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</si>
  <si>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</si>
  <si>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</si>
  <si>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</si>
  <si>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</si>
  <si>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</si>
  <si>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</si>
  <si>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</si>
  <si>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</si>
  <si>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</si>
  <si>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</si>
  <si>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</si>
  <si>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</si>
  <si>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</si>
  <si>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 xml:space="preserve">Nr. </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</si>
  <si>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</si>
  <si>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</si>
  <si>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</si>
  <si>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</si>
  <si>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</si>
  <si>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</si>
  <si>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</si>
  <si>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</si>
  <si>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</si>
  <si>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</si>
  <si>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</si>
  <si>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</si>
  <si>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</si>
  <si>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</si>
  <si>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</si>
  <si>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</si>
  <si>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</si>
  <si>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</si>
  <si>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</si>
  <si>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</si>
  <si>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 xml:space="preserve">Total OS 5.2 </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</si>
  <si>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</si>
  <si>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</si>
  <si>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</si>
  <si>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</si>
  <si>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</si>
  <si>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</si>
  <si>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</si>
  <si>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</si>
  <si>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</si>
  <si>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</si>
  <si>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</si>
  <si>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</si>
  <si>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</si>
  <si>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</si>
  <si>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</si>
  <si>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</si>
  <si>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</si>
  <si>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</si>
  <si>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</si>
  <si>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</si>
  <si>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</si>
  <si>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</si>
  <si>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</si>
  <si>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</si>
  <si>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</si>
  <si>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</si>
  <si>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</si>
  <si>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</si>
  <si>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</si>
  <si>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Municipiul Oradea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</si>
  <si>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</si>
  <si>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</si>
  <si>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</si>
  <si>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</si>
  <si>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</si>
  <si>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</si>
  <si>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</si>
  <si>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</si>
  <si>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</si>
  <si>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</si>
  <si>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</si>
  <si>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</si>
  <si>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</si>
  <si>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</si>
  <si>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</si>
  <si>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</si>
  <si>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</si>
  <si>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</si>
  <si>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</si>
  <si>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</si>
  <si>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</si>
  <si>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</si>
  <si>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</si>
  <si>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</si>
  <si>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</si>
  <si>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</si>
  <si>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</si>
  <si>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</si>
  <si>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</si>
  <si>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</si>
  <si>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</si>
  <si>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</si>
  <si>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</si>
  <si>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</si>
  <si>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</si>
  <si>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</si>
  <si>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</si>
  <si>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</si>
  <si>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</si>
  <si>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</si>
  <si>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</si>
  <si>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</si>
  <si>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</si>
  <si>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</si>
  <si>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</si>
  <si>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</si>
  <si>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</si>
  <si>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</si>
  <si>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Axa Prioritară 2. Dezvoltarea unui sistem de transport multimodal, de calitate, durabil şi eficient, Obiectivul Specific 2.1 (OS) Cresterea mobilității pe rețeaua rutieră TENT
globală</t>
  </si>
  <si>
    <t>CNAIR</t>
  </si>
  <si>
    <t>Total OS 2.1</t>
  </si>
  <si>
    <t>AP 1</t>
  </si>
  <si>
    <t>Axa Prioritară 1:  Imbunatatirea mobilitatii prin dezvoltarea retelei TEN-T si a Metroului. Obiectivul specific. 1.1 Cresterea mobilității pe rețeaua rutieră TENT
centrală</t>
  </si>
  <si>
    <t>Total AP 1</t>
  </si>
  <si>
    <t>Axa Prioritară 1:  Imbunatatirea mobilitatii prin dezvoltarea retelei TEN-T si a Metroului. Obiectivul specific. 1.2</t>
  </si>
  <si>
    <t>Total OS 1.1</t>
  </si>
  <si>
    <t>Total OS 1.2</t>
  </si>
  <si>
    <t>CFR</t>
  </si>
  <si>
    <t>UAT Judetul CLUJ</t>
  </si>
  <si>
    <t>Total OS 1.4</t>
  </si>
  <si>
    <t>Axa Prioritară 1:  Imbunatatirea mobilitatii prin dezvoltarea retelei TEN-T si a Metroului. Obiectivul specific.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</si>
  <si>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</si>
  <si>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</si>
  <si>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</si>
  <si>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</si>
  <si>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</si>
  <si>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</si>
  <si>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</si>
  <si>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</si>
  <si>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</si>
  <si>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</si>
  <si>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</si>
  <si>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</si>
  <si>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</si>
  <si>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</si>
  <si>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</si>
  <si>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</si>
  <si>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</si>
  <si>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</si>
  <si>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 xml:space="preserve">Axa Prioritară 2. Dezvoltarea unui sistem de transport multimodal, de calitate, durabil şi eficient, Obiectivul Specific 2.7 </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</si>
  <si>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</si>
  <si>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</si>
  <si>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</si>
  <si>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</si>
  <si>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</si>
  <si>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</si>
  <si>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</si>
  <si>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</si>
  <si>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 xml:space="preserve">Axa Prioritară 2. Dezvoltarea unui sistem de transport multimodal, de calitate, durabil şi eficient, Obiectivul Specific 2.2 (OS)  Dezvoltarea infrastructurii rutiere </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</si>
  <si>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</si>
  <si>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</si>
  <si>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</si>
  <si>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</si>
  <si>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</si>
  <si>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</si>
  <si>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</si>
  <si>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r>
      <t>Fazarea Proiectului  Sistem integrat de management al deșeurilor în județul</t>
    </r>
    <r>
      <rPr>
        <b/>
        <sz val="10"/>
        <rFont val="Calibri"/>
        <family val="2"/>
        <charset val="238"/>
        <scheme val="minor"/>
      </rPr>
      <t xml:space="preserve"> Maramures</t>
    </r>
  </si>
  <si>
    <r>
      <t>Fazarea Proiectului  Sistem integrat de management al deșeurilor în județul</t>
    </r>
    <r>
      <rPr>
        <b/>
        <sz val="10"/>
        <rFont val="Calibri"/>
        <family val="2"/>
        <charset val="238"/>
        <scheme val="minor"/>
      </rPr>
      <t xml:space="preserve"> Caras-Severin</t>
    </r>
  </si>
  <si>
    <r>
      <t>Fazarea Proiectului  Sistem integrat de management integrat al deșeurilor în județul</t>
    </r>
    <r>
      <rPr>
        <b/>
        <sz val="10"/>
        <rFont val="Calibri"/>
        <family val="2"/>
        <charset val="238"/>
        <scheme val="minor"/>
      </rPr>
      <t xml:space="preserve"> Iasi</t>
    </r>
  </si>
  <si>
    <r>
      <t>Fazarea Proiectului  Sistem integrat de management al deșeurilor în județul</t>
    </r>
    <r>
      <rPr>
        <b/>
        <sz val="10"/>
        <rFont val="Calibri"/>
        <family val="2"/>
        <charset val="238"/>
        <scheme val="minor"/>
      </rPr>
      <t xml:space="preserve"> Mehedinti</t>
    </r>
  </si>
  <si>
    <r>
      <t>Fazarea Proiectului  Sistem integrat de management al deșeurilor în județul</t>
    </r>
    <r>
      <rPr>
        <b/>
        <sz val="10"/>
        <rFont val="Calibri"/>
        <family val="2"/>
        <charset val="238"/>
        <scheme val="minor"/>
      </rPr>
      <t xml:space="preserve"> Constanta</t>
    </r>
  </si>
  <si>
    <r>
      <t>Fazarea Proiectului  Sistem integrat de management al deșeurilor în județul</t>
    </r>
    <r>
      <rPr>
        <b/>
        <sz val="10"/>
        <rFont val="Calibri"/>
        <family val="2"/>
        <charset val="238"/>
        <scheme val="minor"/>
      </rPr>
      <t xml:space="preserve"> Cluj</t>
    </r>
  </si>
  <si>
    <r>
      <t>Fazarea Proiectului  Sistem integrat de management al deșeurilor în județul</t>
    </r>
    <r>
      <rPr>
        <b/>
        <sz val="10"/>
        <rFont val="Calibri"/>
        <family val="2"/>
        <charset val="238"/>
        <scheme val="minor"/>
      </rPr>
      <t xml:space="preserve"> Vaslui</t>
    </r>
  </si>
  <si>
    <r>
      <t xml:space="preserve">Sprijin pentru pregătirea aplicației de finanțare și a documentațiilor de atribuire pentru proiectul regional de dezvoltare a infrastructurii de apă și apă uzată aria de operare a SC RAJA SA , </t>
    </r>
    <r>
      <rPr>
        <b/>
        <sz val="10"/>
        <rFont val="Calibri"/>
        <family val="2"/>
        <charset val="238"/>
        <scheme val="minor"/>
      </rPr>
      <t>CONSTANȚA în perioada 2014 - 2020</t>
    </r>
  </si>
  <si>
    <r>
      <t>Fazarea Proiectului Reabilitarea și modernizarea sistemului de alimentare cu apă și canalizare în regiunea</t>
    </r>
    <r>
      <rPr>
        <b/>
        <sz val="10"/>
        <rFont val="Calibri"/>
        <family val="2"/>
        <charset val="238"/>
        <scheme val="minor"/>
      </rPr>
      <t xml:space="preserve"> Constanța-Ialomița</t>
    </r>
  </si>
  <si>
    <r>
      <t>Fazarea proiectului "Extinderea si modernizarea sistemelor de apa si apa uzata în judetul</t>
    </r>
    <r>
      <rPr>
        <b/>
        <sz val="10"/>
        <rFont val="Calibri"/>
        <family val="2"/>
        <charset val="238"/>
        <scheme val="minor"/>
      </rPr>
      <t xml:space="preserve"> Covasna"</t>
    </r>
  </si>
  <si>
    <r>
      <t xml:space="preserve">Planificarea managementului conservării biodiversității in 2 situri Natura 2000 ROSPA0024 Confluenta Olt-Dunare si  ROSCI0044 Corabia Turnu-Magurele, incluzand aria naturala protejata de interes national B 10 </t>
    </r>
    <r>
      <rPr>
        <b/>
        <sz val="10"/>
        <rFont val="Calibri"/>
        <family val="2"/>
        <charset val="238"/>
        <scheme val="minor"/>
      </rPr>
      <t>Ostrovul Mare</t>
    </r>
  </si>
  <si>
    <r>
      <t xml:space="preserve">Realizarea managementului adecvat în scopul conservării biodiversității în aria naturală protejată ROSCI0357 </t>
    </r>
    <r>
      <rPr>
        <b/>
        <sz val="10"/>
        <rFont val="Calibri"/>
        <family val="2"/>
        <charset val="238"/>
        <scheme val="minor"/>
      </rPr>
      <t>Porumbeni</t>
    </r>
  </si>
  <si>
    <t>cod SMIS</t>
  </si>
  <si>
    <t xml:space="preserve"> 
106454</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</si>
  <si>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</si>
  <si>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</si>
  <si>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</si>
  <si>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</si>
  <si>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</si>
  <si>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</si>
  <si>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</si>
  <si>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Municipiul Turda</t>
  </si>
  <si>
    <t>Elaborarea Planului de management pentru ariile naturale protejate ROSPA0040 Dunărea Veche-Brațul Măcin, RO SCI0012 Brațul Măcin și rezervația națională Lacul Traian</t>
  </si>
  <si>
    <t>Asociația Medio Pro</t>
  </si>
  <si>
    <t>Extinderea si modernizarea sistemului de apa si canalizare in judetul Vrancea, etapa a II-a, POIM</t>
  </si>
  <si>
    <t>COMPANIA DE UTILITATI PUBLICE SA VRANCEA</t>
  </si>
  <si>
    <t>LEI</t>
  </si>
  <si>
    <t>Sistem de detectare a cutiilor de osii supraîncălzite şi a frânelor strânse Faza II</t>
  </si>
  <si>
    <t xml:space="preserve">Axa Prioritară 2. Dezvoltarea unui sistem de transport multimodal, de calitate, durabil şi eficient, Obiectivul Specific 2.5 (OS) Imbunătățirea  siguranței rutiere </t>
  </si>
  <si>
    <t>Modernizarea instalatiilor de centralizare electromecanica pe sectia de circulatie Ilia - Lugoj – Faza II</t>
  </si>
  <si>
    <t xml:space="preserve">CFR </t>
  </si>
  <si>
    <t>Sprijin pentru pregatirea aplicatiei de finantare si a documentatiilor de atribuire pentru proiectul regional de dezvoltare a infrastructurii de apa si apa uzata din judetele Olt, în perioada 2014-2020</t>
  </si>
  <si>
    <t>Modernizare DN5 București-Adunații Copăceni – Faza II”</t>
  </si>
  <si>
    <t>Construcția Variantei de Ocolire a orașului Săcuieni (FAZA II)</t>
  </si>
  <si>
    <t>Fazarea proiectului Sistem de Management Integrat al Deșeurilor în județul Vrancea</t>
  </si>
  <si>
    <t>Varianta de ocolire Carei (faza II)</t>
  </si>
  <si>
    <t>Sprijin pentru pregatirea aplicatiei de finantare si a documentatiilor de atribuire pentru proiectul regional de dezvoltare a infrastructurii de apa si apa uzata din judetele Bacau, în perioada 2014-2020</t>
  </si>
  <si>
    <t>Fazarea proiectului Reabilitarea Sitului poluat istoric Iaz Batal 30 ha – Tîrgu-Mureș</t>
  </si>
  <si>
    <t>Tîrgu-Mureș, regiunea 7 Centru</t>
  </si>
  <si>
    <t>Fazarea proiectului "Extinderea si modernizarea sistemelor de apa si apa uzata în judetul Caras Severin</t>
  </si>
  <si>
    <t>Elaborarea a 3 planuri de management pentru situri Natura 2000 din judetul Alba</t>
  </si>
  <si>
    <t>Reabilitarea sistemului de termoficare în Municipiul Iași în vederea conformării cu standardele de mediu privind emisiile în atmosferă și pentru creșterea eficienței energetice în alimentarea cu căldură urbană. Etapa a II-a</t>
  </si>
  <si>
    <t>MUNICIPIUL IASI,  Regiunea 1 Nord-Est, Iasi</t>
  </si>
  <si>
    <t>Planificarea managementului conservării biodiversității în situl Natura 2000 ROSPA00060 Lacurile Taşaul–Corbu</t>
  </si>
  <si>
    <t xml:space="preserve"> Elaborarea Planului de management al sitului Natura 2000 Oituz-Ojdula</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</si>
  <si>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</si>
  <si>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Elaborarea planului de management pentru ROSCI0373 Râul Mureş între Brănişca şi Ilia şi a planului de management pentru ROSPA0132 Munţii Metaliferi şi ariile naturale protejate conexe</t>
  </si>
  <si>
    <t>Sprijin pentru pregătirea aplicației de finanțare și a documentațiilor de atribuire pentru proiectul regional de dezvoltare a infrastructurii de apă și apă uzată din județul Vaslui, în perioada 2014-2020</t>
  </si>
  <si>
    <t>AQUAVAS SA, Regiunea 1 Nord-Est, vaslui</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</si>
  <si>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</si>
  <si>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</si>
  <si>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 xml:space="preserve"> </t>
  </si>
  <si>
    <t>Sprijin pentru pregătirea aplicației de finanțare și a documentațiilor de atribuire pentru proiectul regional de dezvoltare a infrastructurii de apă și apă uzată din județul Mureș în perioada 2014-2020</t>
  </si>
  <si>
    <t>Sprijin pentru pregătirea aplicației de finanțare și a documentațiilor de atribuire pentru proiectul regional de dezvoltare a infrastructurii de apă și apă uzată din județul Teleorman, în perioada 2014-2020</t>
  </si>
  <si>
    <t>public</t>
  </si>
  <si>
    <t>ONG</t>
  </si>
  <si>
    <t>privat</t>
  </si>
  <si>
    <t>in implementare</t>
  </si>
  <si>
    <t>31.12.2017</t>
  </si>
  <si>
    <t>15.11.2018</t>
  </si>
  <si>
    <t>01.05.2016</t>
  </si>
  <si>
    <t>31.12.2019</t>
  </si>
  <si>
    <t>01.10.2016</t>
  </si>
  <si>
    <t>31.10.2021</t>
  </si>
  <si>
    <t>29.02.2020</t>
  </si>
  <si>
    <t>31.08.2018</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</si>
  <si>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</si>
  <si>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</si>
  <si>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30.06.2018</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</si>
  <si>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</si>
  <si>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28.02.2018</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</si>
  <si>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</si>
  <si>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</si>
  <si>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</si>
  <si>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30.09.2018</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</si>
  <si>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</si>
  <si>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</si>
  <si>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31.12.2018</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</si>
  <si>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</si>
  <si>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Dumbrava</t>
  </si>
  <si>
    <t>Alba Iulia, Hunedoara</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</si>
  <si>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</si>
  <si>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</si>
  <si>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</si>
  <si>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</si>
  <si>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</si>
  <si>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Municipiul 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</si>
  <si>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</si>
  <si>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</si>
  <si>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Municipiul Carei</t>
  </si>
  <si>
    <t>Constructia a 19,956 km de drum, 4 poduri, 8 pasaje și 3 intersecții la nivel</t>
  </si>
  <si>
    <t>Gorj</t>
  </si>
  <si>
    <t>Municipiul Târgu Jiu</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</si>
  <si>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</si>
  <si>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</si>
  <si>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</si>
  <si>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Municipiul Craiova</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</si>
  <si>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</si>
  <si>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</si>
  <si>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</si>
  <si>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</si>
  <si>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</si>
  <si>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</si>
  <si>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</si>
  <si>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</si>
  <si>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</si>
  <si>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</si>
  <si>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</si>
  <si>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</si>
  <si>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</si>
  <si>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</si>
  <si>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</si>
  <si>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</si>
  <si>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</si>
  <si>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</si>
  <si>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</si>
  <si>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</si>
  <si>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</si>
  <si>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</si>
  <si>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</si>
  <si>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</si>
  <si>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</si>
  <si>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</si>
  <si>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</si>
  <si>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</si>
  <si>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</si>
  <si>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</si>
  <si>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</si>
  <si>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</si>
  <si>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</si>
  <si>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</si>
  <si>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</si>
  <si>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31.02.2018</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</si>
  <si>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</si>
  <si>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</si>
  <si>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</si>
  <si>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</si>
  <si>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</si>
  <si>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</si>
  <si>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</si>
  <si>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</si>
  <si>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</si>
  <si>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</si>
  <si>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</si>
  <si>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</si>
  <si>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</si>
  <si>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</si>
  <si>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</si>
  <si>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</si>
  <si>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30/06/2020</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</si>
  <si>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</si>
  <si>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</si>
  <si>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28 /02/2019</t>
  </si>
  <si>
    <t>31.02.2019</t>
  </si>
  <si>
    <t>Scopul proiectului este continuarea si finalizarea lucrarilor privind extinderea si reabilitarea infrastructurii de apa si apa uzata in aglomerarile Targoviste, Moreni, Gaesti, Pucioasa, Fieni si Titu, lucrari care au fost incepute in cadrul POS Mediu 2007-2013.</t>
  </si>
  <si>
    <t>Finalizat</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</si>
  <si>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</si>
  <si>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</si>
  <si>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</si>
  <si>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</si>
  <si>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31/07/2019</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</si>
  <si>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</si>
  <si>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</si>
  <si>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</si>
  <si>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</si>
  <si>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31/12/2018</t>
  </si>
  <si>
    <t>Obiectiv general:
- Imbunatatirea serviciilor de apa–canalizare din judetul Alba;
- Cresterea accesului populatiei la serviciile de apa si canalizare;
- Indeplinirea standardelor UE privind epurarea corespunzatoare a apelor uzate urbane,</t>
  </si>
  <si>
    <t>31/08/2017</t>
  </si>
  <si>
    <t>31/12/2023</t>
  </si>
  <si>
    <t>31/12/2022</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</si>
  <si>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</si>
  <si>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</si>
  <si>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30.04.2018</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</si>
  <si>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</si>
  <si>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</si>
  <si>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</si>
  <si>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</si>
  <si>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</si>
  <si>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</si>
  <si>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</si>
  <si>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</si>
  <si>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</si>
  <si>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</si>
  <si>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</si>
  <si>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</si>
  <si>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</si>
  <si>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30/07/2019</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</si>
  <si>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</si>
  <si>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</si>
  <si>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</si>
  <si>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</si>
  <si>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</si>
  <si>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</si>
  <si>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</si>
  <si>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</si>
  <si>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</si>
  <si>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</si>
  <si>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</si>
  <si>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</si>
  <si>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</si>
  <si>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</si>
  <si>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</si>
  <si>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24.15.2019</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</si>
  <si>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</si>
  <si>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</si>
  <si>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</si>
  <si>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</si>
  <si>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</si>
  <si>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20.12.2019</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</si>
  <si>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</si>
  <si>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</si>
  <si>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</si>
  <si>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</si>
  <si>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</si>
  <si>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</si>
  <si>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09.12.2017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</si>
  <si>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</si>
  <si>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</si>
  <si>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</si>
  <si>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</si>
  <si>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</si>
  <si>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</si>
  <si>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30.04.2020</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</si>
  <si>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</si>
  <si>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</si>
  <si>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</si>
  <si>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</si>
  <si>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</si>
  <si>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</si>
  <si>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</si>
  <si>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</si>
  <si>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</si>
  <si>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</si>
  <si>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</si>
  <si>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15.04.2020</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</si>
  <si>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</si>
  <si>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</si>
  <si>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09.03.2018</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</si>
  <si>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</si>
  <si>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</si>
  <si>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</si>
  <si>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</si>
  <si>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</si>
  <si>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</si>
  <si>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</si>
  <si>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</si>
  <si>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</si>
  <si>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</si>
  <si>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</si>
  <si>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</si>
  <si>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</si>
  <si>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</si>
  <si>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</si>
  <si>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</si>
  <si>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</si>
  <si>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</si>
  <si>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</si>
  <si>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</si>
  <si>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</si>
  <si>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</si>
  <si>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</si>
  <si>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</si>
  <si>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</si>
  <si>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</si>
  <si>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</si>
  <si>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</si>
  <si>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</si>
  <si>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</si>
  <si>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</si>
  <si>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</si>
  <si>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</si>
  <si>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</si>
  <si>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</si>
  <si>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</si>
  <si>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</si>
  <si>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</si>
  <si>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</si>
  <si>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</si>
  <si>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</si>
  <si>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 xml:space="preserve">Prin acest proiect se va continua reabilitarea sitului poluat istoric de 30 ha (13,5 ha faza I si 16,5 ha faza II) pâna la standarde de curațire acceptate, constând în protejarea apelor de suprafață și aducerea terenului la un standard corespunzator pentru a putea fi utilizat ca zonă verde, pentru a include zone dedicate plantării, precum și pentru a soluționa orice impact adus asupra mediului local de activitatea anterioară din cadrul sitului.
Obiectivul general al proiectului: coincide cu Obiectivul specific 4.3 - Reducerea siturilor poluate istoric, a Axei prioritare 4, ce vizează promovarea investițiilor care contribuie la diminuarea riscului existent pentru sănătatea umană și mediu. Conform Strategiei și Planului național de acțiune pentru gestionarea siturilor contaminate, obiectivul specific al proiectului reprezintă unul dintre aspectele fundamentale ale protecției mediului în cadrul procesului de armonizare a politicilor naționale cu cele ale Uniunii Europene. 
</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</si>
  <si>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</si>
  <si>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</si>
  <si>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</si>
  <si>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</si>
  <si>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</si>
  <si>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</si>
  <si>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31.08.2020</t>
  </si>
  <si>
    <t>Regiunea 5 Vest</t>
  </si>
  <si>
    <t>Timis</t>
  </si>
  <si>
    <t>Regiunea 7 Centru</t>
  </si>
  <si>
    <t>Alba</t>
  </si>
  <si>
    <t>Regiunea 1 Nord Est</t>
  </si>
  <si>
    <t>Bucuresti</t>
  </si>
  <si>
    <t>Regiunea 8 Bucureşti-Ilfov</t>
  </si>
  <si>
    <t>Regiunea 6 Nord-Vest</t>
  </si>
  <si>
    <t>Bihor</t>
  </si>
  <si>
    <t>Regiunea 3 Sud  Muntenia</t>
  </si>
  <si>
    <t>Teleorman</t>
  </si>
  <si>
    <t>Regiunea 4 Sud-Vest</t>
  </si>
  <si>
    <t>Brasov</t>
  </si>
  <si>
    <t>Regiunea 2 Sud-Est</t>
  </si>
  <si>
    <t>Regiunea 3 Sud Muntenia</t>
  </si>
  <si>
    <t>Hunedoara</t>
  </si>
  <si>
    <t>Olt</t>
  </si>
  <si>
    <t>Regiunea 1 Nord-Est</t>
  </si>
  <si>
    <t>Iasi</t>
  </si>
  <si>
    <t>Mures</t>
  </si>
  <si>
    <t>Tulcea</t>
  </si>
  <si>
    <t>Calarasi</t>
  </si>
  <si>
    <t>Oradea</t>
  </si>
  <si>
    <t>Braila</t>
  </si>
  <si>
    <t>Alba Iulia</t>
  </si>
  <si>
    <t>Maramures</t>
  </si>
  <si>
    <t>Baia Mare</t>
  </si>
  <si>
    <t>Caras Severin</t>
  </si>
  <si>
    <t>Resita</t>
  </si>
  <si>
    <t>iasi</t>
  </si>
  <si>
    <t>Mehedinti</t>
  </si>
  <si>
    <t>Drobeta Turnu Severin</t>
  </si>
  <si>
    <t>Cluj Napoca</t>
  </si>
  <si>
    <t>Vaslui</t>
  </si>
  <si>
    <t>Vrancea</t>
  </si>
  <si>
    <t>Focsani</t>
  </si>
  <si>
    <t>Ploiesti</t>
  </si>
  <si>
    <t>Fazarea proiectului Sistem de management integrat al deseurilor in judetul Suceava</t>
  </si>
  <si>
    <t>Consiliul Judetean Suceava</t>
  </si>
  <si>
    <t>Suceava</t>
  </si>
  <si>
    <t>Galați</t>
  </si>
  <si>
    <t>Mehedinți</t>
  </si>
  <si>
    <t>Deva</t>
  </si>
  <si>
    <t>Pitesti</t>
  </si>
  <si>
    <t>Botosani</t>
  </si>
  <si>
    <t xml:space="preserve"> Bacău</t>
  </si>
  <si>
    <t>Timisoara</t>
  </si>
  <si>
    <t>Buzau</t>
  </si>
  <si>
    <t>Targu Jiu</t>
  </si>
  <si>
    <t>Dambovita</t>
  </si>
  <si>
    <t>Targovistea</t>
  </si>
  <si>
    <t>Harghita</t>
  </si>
  <si>
    <t>Arad</t>
  </si>
  <si>
    <t>Valcea</t>
  </si>
  <si>
    <t>Ramnicu Valcea</t>
  </si>
  <si>
    <t>Targu Mures</t>
  </si>
  <si>
    <t>Ilfov</t>
  </si>
  <si>
    <t>Bistrita Nasaud</t>
  </si>
  <si>
    <t>Regiunea 2 Sud-Es</t>
  </si>
  <si>
    <t>Slatina</t>
  </si>
  <si>
    <t>Covasna</t>
  </si>
  <si>
    <t>Sfantu Gheorghe</t>
  </si>
  <si>
    <t>Sibiu</t>
  </si>
  <si>
    <t>Cluj</t>
  </si>
  <si>
    <t xml:space="preserve">Regiunea 7 Centr, </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</si>
  <si>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</si>
  <si>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</si>
  <si>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</si>
  <si>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</si>
  <si>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</si>
  <si>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</si>
  <si>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SC COMPANIA DE APĂ ARAD SA</t>
  </si>
  <si>
    <t>harghita</t>
  </si>
  <si>
    <t>Bv</t>
  </si>
  <si>
    <t>ialomita</t>
  </si>
  <si>
    <t>OLT</t>
  </si>
  <si>
    <t>Muntenia</t>
  </si>
  <si>
    <t>Galati</t>
  </si>
  <si>
    <t xml:space="preserve"> Regiunea  7 Centru</t>
  </si>
  <si>
    <t xml:space="preserve">  Regiunea 2 Sud-Est</t>
  </si>
  <si>
    <t xml:space="preserve"> Regiunea 7 Centru</t>
  </si>
  <si>
    <t xml:space="preserve">Regiunea 4 Sud-Vest </t>
  </si>
  <si>
    <t xml:space="preserve">Regiunea 7 Centru </t>
  </si>
  <si>
    <t>Regiunea 8-Bucuresti- Ilfov</t>
  </si>
  <si>
    <t xml:space="preserve"> Regiunea 1 Nord-Est</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</si>
  <si>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</si>
  <si>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</si>
  <si>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</si>
  <si>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</si>
  <si>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</si>
  <si>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</si>
  <si>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</si>
  <si>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</si>
  <si>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</si>
  <si>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</si>
  <si>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</si>
  <si>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01.12.2015 ( CF semnat in  23.11.2017 )</t>
  </si>
  <si>
    <t>01.01.2014 (CF semnat in  27.11.2017 )</t>
  </si>
  <si>
    <t>01.01.2014 ( CF semnat in  20.11.2017 )</t>
  </si>
  <si>
    <t>18.07.2014( CF semnat in  21.11.2017 )</t>
  </si>
  <si>
    <t>04.09.2017( CF semnat in 16.11.2017)</t>
  </si>
  <si>
    <t>01.01.2015( CF semnat in 23.11.2017)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</si>
  <si>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</si>
  <si>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</si>
  <si>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</si>
  <si>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</si>
  <si>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</si>
  <si>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</si>
  <si>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</si>
  <si>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</si>
  <si>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</si>
  <si>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</si>
  <si>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</si>
  <si>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</si>
  <si>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</si>
  <si>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</si>
  <si>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</si>
  <si>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</si>
  <si>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</si>
  <si>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</si>
  <si>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</si>
  <si>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</si>
  <si>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</si>
  <si>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</si>
  <si>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</si>
  <si>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</si>
  <si>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</si>
  <si>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r>
      <t xml:space="preserve">Constructia autostrazii </t>
    </r>
    <r>
      <rPr>
        <b/>
        <sz val="10"/>
        <rFont val="Calibri"/>
        <family val="2"/>
        <charset val="238"/>
        <scheme val="minor"/>
      </rPr>
      <t>Timisoara Lugoj si a variantei de ocolire Timisoara la standard de autostrada</t>
    </r>
  </si>
  <si>
    <r>
      <t xml:space="preserve">Constructia autostrazii Lugoj – Deva lot 2, lot 3 si lot 4 (sectorul </t>
    </r>
    <r>
      <rPr>
        <b/>
        <sz val="10"/>
        <rFont val="Calibri"/>
        <family val="2"/>
        <charset val="238"/>
        <scheme val="minor"/>
      </rPr>
      <t>Dumbrava – Deva) - FAZA 2</t>
    </r>
  </si>
  <si>
    <r>
      <t xml:space="preserve">Reabilitarea liniei de cale ferată Braşov – Simeria, componentă a coridorului Pan – European IV, pentru a asigura circulaţia trenurilor cu o viteză de 160 km/h, tronsonul </t>
    </r>
    <r>
      <rPr>
        <b/>
        <sz val="10"/>
        <color theme="1"/>
        <rFont val="Calibri"/>
        <family val="2"/>
        <charset val="238"/>
        <scheme val="minor"/>
      </rPr>
      <t>Sighișoara – Coşlariu – FAZA II</t>
    </r>
  </si>
  <si>
    <r>
      <rPr>
        <b/>
        <sz val="10"/>
        <rFont val="Calibri"/>
        <family val="2"/>
      </rPr>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r>
    <r>
      <rPr>
        <b/>
        <sz val="10"/>
        <rFont val="Calibri"/>
        <family val="2"/>
        <charset val="238"/>
      </rPr>
      <t xml:space="preserve">
</t>
    </r>
  </si>
  <si>
    <r>
      <t>Reabilitarea liniei de cale ferată Braşov – Simeria, componentă a coridorului Pan – European IV, pentru a asigura circulaţia trenurilor cu o viteză de 160 km/h, tronsonul</t>
    </r>
    <r>
      <rPr>
        <b/>
        <sz val="10"/>
        <color theme="1"/>
        <rFont val="Calibri"/>
        <family val="2"/>
        <charset val="238"/>
        <scheme val="minor"/>
      </rPr>
      <t xml:space="preserve"> Simeria – Coşlariu – FAZA II</t>
    </r>
  </si>
  <si>
    <r>
      <rPr>
        <b/>
        <sz val="10"/>
        <rFont val="Calibri"/>
        <family val="2"/>
        <charset val="238"/>
        <scheme val="minor"/>
      </rPr>
      <t>Magistrala 4. Racordul 2. Sectiunea Parc Bazilescu (PS Zarea) - Straulesti _ Faza II</t>
    </r>
  </si>
  <si>
    <r>
      <rPr>
        <b/>
        <sz val="10"/>
        <rFont val="Calibri"/>
        <family val="2"/>
        <charset val="238"/>
        <scheme val="minor"/>
      </rPr>
      <t>Magistrala 5. SectiuneaRaul Doamnei-Eroilor (psOpera) inclusiv Valea IalomiteiFaza II</t>
    </r>
  </si>
  <si>
    <r>
      <rPr>
        <b/>
        <sz val="10"/>
        <rFont val="Calibri"/>
        <family val="2"/>
        <charset val="238"/>
        <scheme val="minor"/>
      </rPr>
      <t>Pasaj suprateran peste drumul de centură al municipiului Oradea în zona străzii Ciheiului, municipiul Oradea, județul Bihor- Faza II</t>
    </r>
  </si>
  <si>
    <r>
      <t xml:space="preserve">Reabilitare DN 6, </t>
    </r>
    <r>
      <rPr>
        <b/>
        <sz val="10"/>
        <rFont val="Calibri"/>
        <family val="2"/>
        <charset val="238"/>
        <scheme val="minor"/>
      </rPr>
      <t>Alexandria - Craiova (faza II)</t>
    </r>
  </si>
  <si>
    <r>
      <t xml:space="preserve">Reabilitare DN56, </t>
    </r>
    <r>
      <rPr>
        <b/>
        <sz val="10"/>
        <rFont val="Calibri"/>
        <family val="2"/>
        <charset val="238"/>
        <scheme val="minor"/>
      </rPr>
      <t xml:space="preserve">Craiova-Calafat, km 0+000 - km 84+020  – Faza II, 
</t>
    </r>
  </si>
  <si>
    <r>
      <t xml:space="preserve">Constructia </t>
    </r>
    <r>
      <rPr>
        <b/>
        <sz val="10"/>
        <rFont val="Calibri"/>
        <family val="2"/>
        <charset val="238"/>
        <scheme val="minor"/>
      </rPr>
      <t>variantei de ocolire a Municipiului Brasov, Tronson I (DN1-DN11), II (DN11-DN13) and III (DN 13-DN 1) Faza II</t>
    </r>
  </si>
  <si>
    <r>
      <t>Reabilitare pod</t>
    </r>
    <r>
      <rPr>
        <b/>
        <sz val="10"/>
        <rFont val="Calibri"/>
        <family val="2"/>
        <charset val="238"/>
        <scheme val="minor"/>
      </rPr>
      <t xml:space="preserve"> Giurgiu, peste Dunăre, pe DN5 km 64+884 – Faza II</t>
    </r>
  </si>
  <si>
    <r>
      <t xml:space="preserve">Reabilitare DN66, </t>
    </r>
    <r>
      <rPr>
        <b/>
        <sz val="10"/>
        <rFont val="Calibri"/>
        <family val="2"/>
        <charset val="238"/>
        <scheme val="minor"/>
      </rPr>
      <t xml:space="preserve">Rovinari-Petrosani, km 48+900 - km 126+000  – Faza II, </t>
    </r>
  </si>
  <si>
    <r>
      <t xml:space="preserve">Lucrări de reabilitare </t>
    </r>
    <r>
      <rPr>
        <b/>
        <sz val="10"/>
        <rFont val="Calibri"/>
        <family val="2"/>
        <charset val="238"/>
        <scheme val="minor"/>
      </rPr>
      <t xml:space="preserve">poduri, podețe și tuneluri de cale ferată –
Sucursala Regională de Căi Ferate București – Faza 2
</t>
    </r>
  </si>
  <si>
    <r>
      <t>Obiectivul general</t>
    </r>
    <r>
      <rPr>
        <b/>
        <sz val="10"/>
        <color rgb="FF444444"/>
        <rFont val="Times New Roman"/>
        <family val="1"/>
      </rPr>
      <t xml:space="preserve">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r>
  </si>
  <si>
    <r>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t>
    </r>
    <r>
      <rPr>
        <b/>
        <sz val="12"/>
        <color theme="1"/>
        <rFont val="Times New Roman"/>
        <family val="1"/>
      </rPr>
      <t xml:space="preserve">•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</si>
  <si>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Timis, în perioada 2014-2020 Restituit avizat de DJ 2.05.2017, asteptam beneficiar pt semnare contract</t>
    </r>
  </si>
  <si>
    <r>
      <t xml:space="preserve">Modernizarea infrastructurii de apa si apa uzata in judetul Hunedoara </t>
    </r>
    <r>
      <rPr>
        <b/>
        <sz val="10"/>
        <rFont val="Calibri"/>
        <family val="2"/>
        <charset val="238"/>
        <scheme val="minor"/>
      </rPr>
      <t>(Valea Jiului)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</si>
  <si>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Valcea, în perioada 2014-2020</t>
    </r>
  </si>
  <si>
    <r>
      <t xml:space="preserve">SPRIJIN PENTRU PREGATIREA APLICATIEI DE FINANTARE SI A
DOCUMENTATIILOR DE ATRIBUIRE PENTRU PROIECTUL REGIONAL DE
DEZVOLTARE A INFRASTRUCTURII DE APA SI APA UZATA DIN JUDETUL
</t>
    </r>
    <r>
      <rPr>
        <b/>
        <sz val="10"/>
        <color theme="1"/>
        <rFont val="Calibri"/>
        <family val="2"/>
        <charset val="238"/>
        <scheme val="minor"/>
      </rPr>
      <t>BISTRITA- NASAUD IN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</si>
  <si>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Iasi, în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</si>
  <si>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Gorj în perioada 2014-2020</t>
    </r>
  </si>
  <si>
    <r>
      <t xml:space="preserve">Sprijin pentru pregătirea aplicației de finanțare și a documentațiilor de atribuire pentru proiectul regional de dezvoltare a infrastructurii de apă și apă uzată din județul </t>
    </r>
    <r>
      <rPr>
        <b/>
        <sz val="10"/>
        <rFont val="Calibri"/>
        <family val="2"/>
        <charset val="238"/>
        <scheme val="minor"/>
      </rPr>
      <t>Brasov/Regiunea Centru, în perioada 2014 - 2020</t>
    </r>
  </si>
  <si>
    <r>
      <t xml:space="preserve">Fazarea Proiectului extinderea și reabilitarea infrastructurii de apă și apă uzată în județele </t>
    </r>
    <r>
      <rPr>
        <b/>
        <sz val="10"/>
        <rFont val="Calibri"/>
        <family val="2"/>
        <charset val="238"/>
        <scheme val="minor"/>
      </rPr>
      <t xml:space="preserve">Sibiu și Brașov       </t>
    </r>
  </si>
  <si>
    <r>
      <t xml:space="preserve">Sprijin pentru pregătirea aplicației de finanțare și a documentațiilor de atribuire pentru proiectul regional de dezvoltare a infrastructurii de apă și apă uzată din județul </t>
    </r>
    <r>
      <rPr>
        <b/>
        <sz val="10"/>
        <color theme="1"/>
        <rFont val="Calibri"/>
        <family val="2"/>
        <charset val="238"/>
        <scheme val="minor"/>
      </rPr>
      <t>Dâmbovița în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</si>
  <si>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Prahova în perioada 2014-2020</t>
    </r>
  </si>
  <si>
    <r>
      <t>Realizarea managementului biodiversității în aria naturală protejată ROSCI0383</t>
    </r>
    <r>
      <rPr>
        <b/>
        <sz val="10"/>
        <rFont val="Calibri"/>
        <family val="2"/>
        <charset val="238"/>
        <scheme val="minor"/>
      </rPr>
      <t xml:space="preserve"> Râul Târnava Mare între Odorheiu Secuiesc și Vânători</t>
    </r>
  </si>
  <si>
    <r>
      <t xml:space="preserve">Fazarea proiectului Reabilitarea sitului poluat istoric - depozit deseuri periculoase UCT - Posta Rât (Municipiul </t>
    </r>
    <r>
      <rPr>
        <b/>
        <sz val="10"/>
        <rFont val="Calibri"/>
        <family val="2"/>
        <charset val="238"/>
        <scheme val="minor"/>
      </rPr>
      <t>Turda)</t>
    </r>
  </si>
  <si>
    <t>UAT Judetul Vrancea</t>
  </si>
  <si>
    <t>Unitatea-Administrativ-Teritorială Județul Prahova</t>
  </si>
  <si>
    <t>Organisme publice cf legii 64/2009</t>
  </si>
  <si>
    <t>Construcția Autostrăzii Târgu Mureș – Ogra – Câmpia Turzii</t>
  </si>
  <si>
    <t>01.01.2014(contract semnat in  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</si>
  <si>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</si>
  <si>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</si>
  <si>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</si>
  <si>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CF semnat in 08.12.2017</t>
  </si>
  <si>
    <t>Aplicație Smart Metering pentru consum utilități și producție realizată</t>
  </si>
  <si>
    <t>VEL PITAR S.A.</t>
  </si>
  <si>
    <t xml:space="preserve">Total OS 6.2 </t>
  </si>
  <si>
    <t>Sistem inteligent de monitorizare a consumurilor energetice din cadrul Antibiotice SA</t>
  </si>
  <si>
    <t>ANTIBIOTICE SA</t>
  </si>
  <si>
    <t>01.10.2016( CF a fost semnat in 08.12.2017)</t>
  </si>
  <si>
    <t>18.11.2016 ( CF a fost semnat in 08.12.2017)</t>
  </si>
  <si>
    <t>Fazarea proiectului Sistem de management integrat al deșeurilor în județul Dolj</t>
  </si>
  <si>
    <t>UAT Judetul Dolj</t>
  </si>
  <si>
    <t>20.01.2014  CF semnat in  11.12.2017 )</t>
  </si>
  <si>
    <t>Fazarea proiectului Watman - sistem informațional pentru managementul integrat al apelor - etapa I</t>
  </si>
  <si>
    <t>ANAR</t>
  </si>
  <si>
    <t>Total OS 5.1</t>
  </si>
  <si>
    <t>01,08,2017 ( cf semnat in 13.12.2017</t>
  </si>
  <si>
    <t>28,02,2019</t>
  </si>
  <si>
    <t>Axa Prioritară 5 Promovarea adaptării la schimbările climatice, prevenirea şi gestionarea riscurilor, Obiectiv Specific 5.1  Reducere efecte inundații si eroziune costiera</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</si>
  <si>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</si>
  <si>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</si>
  <si>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30.12.2017</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</si>
  <si>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</si>
  <si>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</si>
  <si>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</si>
  <si>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30/09/2018</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</si>
  <si>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</si>
  <si>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</si>
  <si>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</si>
  <si>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</si>
  <si>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</si>
  <si>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</si>
  <si>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</si>
  <si>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AP 6, PI 4a, O.S. 6.1 Creșterea producției de energie din surse alternative (geotermal, biomasa, biogaz)</t>
  </si>
  <si>
    <t>Proiectul Regional de dezvoltare a infrastructurii de apă și apă uzată din regiunea Turda – Câmpia Turzii, în perioada 2014-2020</t>
  </si>
  <si>
    <t>COMPANIA DE APA ARIEȘ S.A.</t>
  </si>
  <si>
    <t>Fazarea proiectului Lucrări pentru reducerea riscului la inundații în bazinul hidrografic Prut – Bârlad</t>
  </si>
  <si>
    <t>01.01.2016 (CF semnat in 19.12.2017)</t>
  </si>
  <si>
    <t>Proiectul Regional de dezvoltare a infrastructurii de apa si apa uzata in judetul Galati, in perioada 2014-2020</t>
  </si>
  <si>
    <t>SC Apa Canal SA</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</si>
  <si>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</si>
  <si>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</si>
  <si>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</si>
  <si>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</si>
  <si>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22.09.2016 (CF semnat in 22.12.2017)</t>
  </si>
  <si>
    <t>Total AP 6</t>
  </si>
  <si>
    <t xml:space="preserve"> Strategia ITS</t>
  </si>
  <si>
    <t>Bucureşti-Ilfov</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</si>
  <si>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</si>
  <si>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</si>
  <si>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</si>
  <si>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</si>
  <si>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</si>
  <si>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</si>
  <si>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</si>
  <si>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</si>
  <si>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</si>
  <si>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</si>
  <si>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</si>
  <si>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lucrari de reabilitare pentru  poduri, podețe și tuneluri de cale ferată</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</si>
  <si>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</si>
  <si>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</si>
  <si>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cut-off- date 31.01.2018</t>
  </si>
  <si>
    <t>Priority Axis / Investment Priority / Specific Objective</t>
  </si>
  <si>
    <t>Project title</t>
  </si>
  <si>
    <t>Beneficiary name</t>
  </si>
  <si>
    <t>Project Summary</t>
  </si>
  <si>
    <t>Start date of the project</t>
  </si>
  <si>
    <t>End date of the project</t>
  </si>
  <si>
    <t>EU co-financing rate</t>
  </si>
  <si>
    <t>Region</t>
  </si>
  <si>
    <t>County</t>
  </si>
  <si>
    <t>locality</t>
  </si>
  <si>
    <t>Beneficiary type</t>
  </si>
  <si>
    <t>Category of intervention</t>
  </si>
  <si>
    <t xml:space="preserve">Total Eligible Value </t>
  </si>
  <si>
    <t>Eligible project value (ROL)</t>
  </si>
  <si>
    <t>Granted funding</t>
  </si>
  <si>
    <t>EU Funds</t>
  </si>
  <si>
    <t>Contribution of the beneficiary</t>
  </si>
  <si>
    <t>Ineligible expenditure</t>
  </si>
  <si>
    <t>Net Generated Income (NFG)</t>
  </si>
  <si>
    <t>Country</t>
  </si>
  <si>
    <t>Romania</t>
  </si>
  <si>
    <t>Total Project Value</t>
  </si>
  <si>
    <t>Project stage
(in implementation / terminated / completed)</t>
  </si>
  <si>
    <t>National Contribution</t>
  </si>
  <si>
    <t>Payments to  the beneficiaries (lei)</t>
  </si>
  <si>
    <t>LIST OF CONTRACTED PROJECTS - LARGE  INFRASTRUCTURE OPERATIONAL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</si>
</sst>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e_i_-;\-* #,##0.00\ _l_e_i_-;_-* &quot;-&quot;??\ _l_e_i_-;_-@_-"/>
    <numFmt numFmtId="165" formatCode="_-* #,##0\ _l_e_i_-;\-* #,##0\ _l_e_i_-;_-* &quot;-&quot;??\ _l_e_i_-;_-@_-"/>
  </numFmts>
  <fonts count="31" x14ac:knownFonts="1">
    <font>
      <sz val="11"/>
      <color theme="1"/>
      <name val="Calibri"/>
      <family val="2"/>
      <charset val="238"/>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b/>
      <sz val="10"/>
      <color rgb="FF444444"/>
      <name val="Calibri"/>
      <family val="2"/>
      <charset val="238"/>
      <scheme val="minor"/>
    </font>
    <font>
      <sz val="10"/>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
      <sz val="11"/>
      <color theme="1"/>
      <name val="Calibri"/>
      <family val="2"/>
      <scheme val="minor"/>
    </font>
    <font>
      <sz val="11"/>
      <name val="Calibri"/>
      <family val="2"/>
      <charset val="238"/>
      <scheme val="minor"/>
    </font>
    <font>
      <sz val="10"/>
      <color theme="0"/>
      <name val="Calibri"/>
      <family val="2"/>
      <charset val="238"/>
      <scheme val="minor"/>
    </font>
    <font>
      <b/>
      <sz val="10"/>
      <color theme="1"/>
      <name val="Calibri"/>
      <family val="2"/>
      <charset val="238"/>
      <scheme val="minor"/>
    </font>
    <font>
      <b/>
      <sz val="14"/>
      <name val="Calibri"/>
      <family val="2"/>
      <charset val="238"/>
      <scheme val="minor"/>
    </font>
    <font>
      <sz val="10"/>
      <name val="Arial"/>
      <family val="2"/>
      <charset val="238"/>
    </font>
    <font>
      <b/>
      <sz val="11"/>
      <color theme="0"/>
      <name val="Calibri"/>
      <family val="2"/>
      <charset val="238"/>
      <scheme val="minor"/>
    </font>
    <font>
      <sz val="11"/>
      <color theme="0"/>
      <name val="Calibri"/>
      <family val="2"/>
      <charset val="238"/>
      <scheme val="minor"/>
    </font>
    <font>
      <b/>
      <sz val="11"/>
      <name val="Calibri"/>
      <family val="2"/>
      <charset val="238"/>
      <scheme val="minor"/>
    </font>
    <font>
      <b/>
      <sz val="10"/>
      <color theme="0"/>
      <name val="Calibri"/>
      <family val="2"/>
      <charset val="238"/>
      <scheme val="minor"/>
    </font>
    <font>
      <b/>
      <sz val="10"/>
      <name val="Calibri"/>
      <family val="2"/>
    </font>
    <font>
      <b/>
      <sz val="10"/>
      <name val="Calibri"/>
      <family val="2"/>
      <charset val="238"/>
    </font>
    <font>
      <b/>
      <sz val="10"/>
      <color rgb="FF444444"/>
      <name val="Calibri"/>
      <family val="2"/>
      <scheme val="minor"/>
    </font>
    <font>
      <b/>
      <sz val="10"/>
      <color rgb="FF444444"/>
      <name val="Times New Roman"/>
      <family val="1"/>
    </font>
    <font>
      <b/>
      <sz val="12"/>
      <color theme="1"/>
      <name val="Times New Roman"/>
      <family val="1"/>
    </font>
    <font>
      <b/>
      <sz val="10"/>
      <name val="Calibri"/>
      <family val="2"/>
      <scheme val="minor"/>
    </font>
    <font>
      <b/>
      <sz val="12"/>
      <color rgb="FF000000"/>
      <name val="Times New Roman"/>
      <family val="1"/>
    </font>
    <font>
      <b/>
      <sz val="10"/>
      <color rgb="FF000000"/>
      <name val="Calibri"/>
      <family val="2"/>
      <scheme val="minor"/>
    </font>
    <font>
      <b/>
      <sz val="10"/>
      <color theme="1"/>
      <name val="Calibri"/>
      <family val="2"/>
      <scheme val="minor"/>
    </font>
    <font>
      <sz val="11"/>
      <name val="Calibri"/>
      <family val="2"/>
      <scheme val="minor"/>
    </font>
    <font>
      <sz val="11"/>
      <color theme="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8">
    <xf numFmtId="0" fontId="0" fillId="0" borderId="0"/>
    <xf numFmtId="16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5" fillId="0" borderId="0"/>
  </cellStyleXfs>
  <cellXfs count="252">
    <xf numFmtId="0" fontId="0" fillId="0" borderId="0" xfId="0"/>
    <xf numFmtId="0" fontId="1" fillId="0" borderId="0" xfId="0" applyFont="1"/>
    <xf numFmtId="0" fontId="0" fillId="0" borderId="0" xfId="0" applyFont="1"/>
    <xf numFmtId="0" fontId="0" fillId="0" borderId="0" xfId="0" applyFont="1" applyBorder="1"/>
    <xf numFmtId="0" fontId="4" fillId="0" borderId="0" xfId="0" applyNumberFormat="1" applyFont="1" applyFill="1" applyBorder="1" applyAlignment="1">
      <alignment vertical="center" wrapText="1"/>
    </xf>
    <xf numFmtId="4" fontId="0" fillId="0" borderId="0" xfId="0" applyNumberFormat="1" applyFont="1"/>
    <xf numFmtId="0" fontId="4"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0" borderId="0" xfId="0" applyFont="1"/>
    <xf numFmtId="0" fontId="6" fillId="0" borderId="0" xfId="0" applyFont="1"/>
    <xf numFmtId="0" fontId="4" fillId="0" borderId="3" xfId="0" applyNumberFormat="1" applyFont="1" applyFill="1" applyBorder="1" applyAlignment="1">
      <alignment horizontal="center" vertical="center" wrapText="1"/>
    </xf>
    <xf numFmtId="164" fontId="1" fillId="0" borderId="0" xfId="1" applyFont="1"/>
    <xf numFmtId="4" fontId="0" fillId="0" borderId="0" xfId="0" applyNumberFormat="1" applyFont="1"/>
    <xf numFmtId="4" fontId="4" fillId="0" borderId="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0" fontId="11" fillId="0" borderId="0" xfId="0" applyFont="1"/>
    <xf numFmtId="0" fontId="12" fillId="0" borderId="0" xfId="0" applyFont="1"/>
    <xf numFmtId="0" fontId="2"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64" fontId="12" fillId="0" borderId="0" xfId="0" applyNumberFormat="1" applyFont="1"/>
    <xf numFmtId="0" fontId="13" fillId="4" borderId="8" xfId="0" applyFont="1" applyFill="1" applyBorder="1" applyAlignment="1">
      <alignment horizontal="center" vertical="center"/>
    </xf>
    <xf numFmtId="0" fontId="13" fillId="4" borderId="8" xfId="0" applyFont="1" applyFill="1" applyBorder="1"/>
    <xf numFmtId="0" fontId="4" fillId="3" borderId="9" xfId="0" applyNumberFormat="1" applyFont="1" applyFill="1" applyBorder="1" applyAlignment="1">
      <alignment horizontal="center" vertical="center" wrapText="1"/>
    </xf>
    <xf numFmtId="0" fontId="3" fillId="0" borderId="0" xfId="0" applyFont="1"/>
    <xf numFmtId="164" fontId="4" fillId="0" borderId="0" xfId="0" applyNumberFormat="1" applyFont="1" applyFill="1" applyBorder="1" applyAlignment="1">
      <alignment horizontal="center" vertical="center" wrapText="1"/>
    </xf>
    <xf numFmtId="0" fontId="4" fillId="2" borderId="0" xfId="0" applyNumberFormat="1" applyFont="1" applyFill="1" applyBorder="1" applyAlignment="1">
      <alignment vertical="center" wrapText="1"/>
    </xf>
    <xf numFmtId="3" fontId="5" fillId="3" borderId="2" xfId="0" applyNumberFormat="1" applyFont="1" applyFill="1" applyBorder="1" applyAlignment="1">
      <alignment horizontal="center" vertical="center" wrapText="1"/>
    </xf>
    <xf numFmtId="0" fontId="5" fillId="5" borderId="7" xfId="0" applyFont="1" applyFill="1" applyBorder="1" applyAlignment="1">
      <alignment horizontal="center" wrapText="1"/>
    </xf>
    <xf numFmtId="0" fontId="5" fillId="6" borderId="2" xfId="0" applyFont="1" applyFill="1" applyBorder="1" applyAlignment="1">
      <alignment horizontal="center" vertical="center" wrapText="1"/>
    </xf>
    <xf numFmtId="164" fontId="5" fillId="6" borderId="2" xfId="1" applyFont="1" applyFill="1" applyBorder="1" applyAlignment="1">
      <alignment horizontal="center" vertical="center" wrapText="1"/>
    </xf>
    <xf numFmtId="0" fontId="5" fillId="7" borderId="2" xfId="0" applyFont="1" applyFill="1" applyBorder="1" applyAlignment="1">
      <alignment horizontal="center" vertical="center" wrapText="1"/>
    </xf>
    <xf numFmtId="164" fontId="5" fillId="6" borderId="2" xfId="1" applyFont="1" applyFill="1" applyBorder="1" applyAlignment="1">
      <alignment vertical="center" wrapText="1"/>
    </xf>
    <xf numFmtId="0" fontId="6" fillId="0" borderId="0" xfId="0" applyFont="1" applyBorder="1"/>
    <xf numFmtId="0" fontId="11" fillId="0" borderId="0" xfId="0" applyFont="1" applyBorder="1"/>
    <xf numFmtId="14" fontId="5" fillId="3" borderId="3"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3" borderId="2"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5" fillId="6" borderId="9" xfId="0" applyFont="1" applyFill="1" applyBorder="1" applyAlignment="1">
      <alignment horizontal="center" vertical="center" wrapText="1"/>
    </xf>
    <xf numFmtId="4" fontId="4" fillId="0" borderId="3" xfId="7"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4" fontId="5" fillId="6" borderId="2" xfId="1" applyNumberFormat="1" applyFont="1" applyFill="1" applyBorder="1" applyAlignment="1">
      <alignment horizontal="center" vertical="center" wrapText="1"/>
    </xf>
    <xf numFmtId="4" fontId="5" fillId="7" borderId="2" xfId="1" applyNumberFormat="1" applyFont="1" applyFill="1" applyBorder="1" applyAlignment="1">
      <alignment horizontal="center" vertical="center" wrapText="1"/>
    </xf>
    <xf numFmtId="4" fontId="5" fillId="5" borderId="2" xfId="1" applyNumberFormat="1" applyFont="1" applyFill="1" applyBorder="1" applyAlignment="1">
      <alignment horizontal="center" vertical="center" wrapText="1"/>
    </xf>
    <xf numFmtId="4" fontId="5" fillId="5" borderId="7" xfId="1" applyNumberFormat="1" applyFont="1" applyFill="1" applyBorder="1" applyAlignment="1">
      <alignment horizontal="center" vertical="center" wrapText="1"/>
    </xf>
    <xf numFmtId="4" fontId="13" fillId="4" borderId="8" xfId="1" applyNumberFormat="1" applyFont="1" applyFill="1" applyBorder="1" applyAlignment="1">
      <alignment horizontal="center" vertical="center"/>
    </xf>
    <xf numFmtId="4" fontId="5" fillId="5" borderId="2" xfId="0" applyNumberFormat="1" applyFont="1" applyFill="1" applyBorder="1" applyAlignment="1">
      <alignment horizontal="center" wrapText="1"/>
    </xf>
    <xf numFmtId="4" fontId="5" fillId="5" borderId="3" xfId="0" applyNumberFormat="1" applyFont="1" applyFill="1" applyBorder="1" applyAlignment="1">
      <alignment horizontal="center" wrapText="1"/>
    </xf>
    <xf numFmtId="165" fontId="0" fillId="0" borderId="0" xfId="0" applyNumberFormat="1" applyFont="1"/>
    <xf numFmtId="4" fontId="16" fillId="0" borderId="0" xfId="0" applyNumberFormat="1" applyFont="1" applyBorder="1"/>
    <xf numFmtId="4" fontId="12" fillId="0" borderId="0" xfId="0" applyNumberFormat="1" applyFont="1" applyBorder="1"/>
    <xf numFmtId="0" fontId="5" fillId="3" borderId="9" xfId="0" applyFont="1" applyFill="1" applyBorder="1" applyAlignment="1">
      <alignment vertical="center" wrapText="1"/>
    </xf>
    <xf numFmtId="164" fontId="16" fillId="0" borderId="0" xfId="1" applyFont="1" applyBorder="1"/>
    <xf numFmtId="4" fontId="12" fillId="0" borderId="0" xfId="0" applyNumberFormat="1" applyFont="1"/>
    <xf numFmtId="164" fontId="18" fillId="0" borderId="0" xfId="1" applyFont="1"/>
    <xf numFmtId="4" fontId="4" fillId="0" borderId="0" xfId="0" applyNumberFormat="1" applyFont="1"/>
    <xf numFmtId="4" fontId="5" fillId="5" borderId="7" xfId="0" applyNumberFormat="1" applyFont="1" applyFill="1" applyBorder="1" applyAlignment="1">
      <alignment horizontal="center" wrapText="1"/>
    </xf>
    <xf numFmtId="4" fontId="4" fillId="3" borderId="9" xfId="1" applyNumberFormat="1" applyFont="1" applyFill="1" applyBorder="1" applyAlignment="1">
      <alignment horizontal="center" vertical="center" wrapText="1"/>
    </xf>
    <xf numFmtId="4" fontId="5" fillId="3" borderId="2" xfId="1" applyNumberFormat="1" applyFont="1" applyFill="1" applyBorder="1" applyAlignment="1">
      <alignment horizontal="center" vertical="center" wrapText="1"/>
    </xf>
    <xf numFmtId="4" fontId="4" fillId="3" borderId="2" xfId="1" applyNumberFormat="1" applyFont="1" applyFill="1" applyBorder="1" applyAlignment="1">
      <alignment horizontal="center" vertical="center" wrapText="1"/>
    </xf>
    <xf numFmtId="4" fontId="5" fillId="7" borderId="2" xfId="0" applyNumberFormat="1" applyFont="1" applyFill="1" applyBorder="1" applyAlignment="1">
      <alignment horizontal="center" vertical="center" wrapText="1"/>
    </xf>
    <xf numFmtId="4" fontId="4" fillId="0" borderId="3" xfId="1" applyNumberFormat="1" applyFont="1" applyFill="1" applyBorder="1" applyAlignment="1">
      <alignment horizontal="center" vertical="center" wrapText="1"/>
    </xf>
    <xf numFmtId="4" fontId="4" fillId="3" borderId="7" xfId="1" applyNumberFormat="1" applyFont="1" applyFill="1" applyBorder="1" applyAlignment="1">
      <alignment horizontal="center" vertical="center" wrapText="1"/>
    </xf>
    <xf numFmtId="4" fontId="5" fillId="3" borderId="7" xfId="1" applyNumberFormat="1" applyFont="1" applyFill="1" applyBorder="1" applyAlignment="1">
      <alignment horizontal="center" vertical="center" wrapText="1"/>
    </xf>
    <xf numFmtId="4" fontId="5" fillId="6" borderId="3" xfId="1" applyNumberFormat="1" applyFont="1" applyFill="1" applyBorder="1" applyAlignment="1">
      <alignment horizontal="center" vertical="center" wrapText="1"/>
    </xf>
    <xf numFmtId="4" fontId="4" fillId="0" borderId="2" xfId="1" applyNumberFormat="1" applyFont="1" applyFill="1" applyBorder="1" applyAlignment="1">
      <alignment horizontal="center" vertical="center" wrapText="1"/>
    </xf>
    <xf numFmtId="4" fontId="4" fillId="3" borderId="3" xfId="1" applyNumberFormat="1" applyFont="1" applyFill="1" applyBorder="1" applyAlignment="1">
      <alignment horizontal="center" vertical="center" wrapText="1"/>
    </xf>
    <xf numFmtId="4" fontId="4" fillId="0" borderId="7" xfId="1" applyNumberFormat="1" applyFont="1" applyFill="1" applyBorder="1" applyAlignment="1">
      <alignment horizontal="center" vertical="center" wrapText="1"/>
    </xf>
    <xf numFmtId="0" fontId="0" fillId="3" borderId="0" xfId="0" applyFont="1" applyFill="1"/>
    <xf numFmtId="4" fontId="18" fillId="0" borderId="0" xfId="0" applyNumberFormat="1" applyFont="1" applyBorder="1"/>
    <xf numFmtId="4" fontId="11" fillId="0" borderId="0" xfId="0" applyNumberFormat="1" applyFont="1" applyBorder="1"/>
    <xf numFmtId="0" fontId="5" fillId="5" borderId="14" xfId="0" applyFont="1" applyFill="1" applyBorder="1" applyAlignment="1">
      <alignment horizontal="center" wrapText="1"/>
    </xf>
    <xf numFmtId="0" fontId="5" fillId="5" borderId="16" xfId="0" applyFont="1" applyFill="1" applyBorder="1" applyAlignment="1">
      <alignment horizontal="center" wrapText="1"/>
    </xf>
    <xf numFmtId="0" fontId="4" fillId="0" borderId="17" xfId="0" applyNumberFormat="1" applyFont="1" applyFill="1" applyBorder="1" applyAlignment="1">
      <alignment horizontal="center" vertical="center" wrapText="1"/>
    </xf>
    <xf numFmtId="4" fontId="4" fillId="0" borderId="18" xfId="7" applyNumberFormat="1" applyFont="1" applyFill="1" applyBorder="1" applyAlignment="1">
      <alignment horizontal="center" vertical="center" wrapText="1"/>
    </xf>
    <xf numFmtId="0" fontId="5" fillId="6" borderId="19" xfId="0" applyFont="1" applyFill="1" applyBorder="1" applyAlignment="1">
      <alignment horizontal="center" vertical="center" wrapText="1"/>
    </xf>
    <xf numFmtId="4" fontId="5" fillId="6" borderId="10" xfId="1"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5" fillId="7" borderId="19" xfId="0" applyFont="1" applyFill="1" applyBorder="1" applyAlignment="1">
      <alignment horizontal="center" vertical="center" wrapText="1"/>
    </xf>
    <xf numFmtId="4" fontId="5" fillId="7" borderId="10" xfId="1" applyNumberFormat="1" applyFont="1" applyFill="1" applyBorder="1" applyAlignment="1">
      <alignment horizontal="center" vertical="center" wrapText="1"/>
    </xf>
    <xf numFmtId="4" fontId="5" fillId="5" borderId="16" xfId="1" applyNumberFormat="1" applyFont="1" applyFill="1" applyBorder="1" applyAlignment="1">
      <alignment horizontal="center" vertical="center" wrapText="1"/>
    </xf>
    <xf numFmtId="0" fontId="4" fillId="3" borderId="19"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5" fillId="3" borderId="19" xfId="0" applyFont="1" applyFill="1" applyBorder="1" applyAlignment="1">
      <alignment horizontal="center" vertical="center" wrapText="1"/>
    </xf>
    <xf numFmtId="4" fontId="5" fillId="5" borderId="10" xfId="0" applyNumberFormat="1" applyFont="1" applyFill="1" applyBorder="1" applyAlignment="1">
      <alignment horizontal="center" wrapText="1"/>
    </xf>
    <xf numFmtId="164" fontId="5" fillId="6" borderId="19" xfId="1" applyFont="1" applyFill="1" applyBorder="1" applyAlignment="1">
      <alignment horizontal="center" vertical="center" wrapText="1"/>
    </xf>
    <xf numFmtId="4" fontId="5" fillId="5" borderId="18" xfId="0" applyNumberFormat="1" applyFont="1" applyFill="1" applyBorder="1" applyAlignment="1">
      <alignment horizontal="center" wrapText="1"/>
    </xf>
    <xf numFmtId="164" fontId="5" fillId="6" borderId="19" xfId="1" applyFont="1" applyFill="1" applyBorder="1" applyAlignment="1">
      <alignment vertical="center" wrapText="1"/>
    </xf>
    <xf numFmtId="0" fontId="13" fillId="4" borderId="15" xfId="0" applyFont="1" applyFill="1" applyBorder="1"/>
    <xf numFmtId="4" fontId="11" fillId="0" borderId="0" xfId="0" applyNumberFormat="1" applyFont="1"/>
    <xf numFmtId="0" fontId="14" fillId="0" borderId="0" xfId="0" applyNumberFormat="1" applyFont="1" applyFill="1" applyBorder="1" applyAlignment="1">
      <alignment horizontal="center" vertical="center" wrapText="1"/>
    </xf>
    <xf numFmtId="0" fontId="5" fillId="6" borderId="7" xfId="0"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0" fontId="0" fillId="0" borderId="0" xfId="0" applyFont="1" applyAlignment="1">
      <alignment horizontal="left"/>
    </xf>
    <xf numFmtId="14" fontId="4" fillId="0" borderId="3" xfId="0" applyNumberFormat="1" applyFont="1" applyBorder="1" applyAlignment="1">
      <alignment horizontal="center" vertical="center" wrapText="1"/>
    </xf>
    <xf numFmtId="14" fontId="4" fillId="3" borderId="3"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5" fillId="5" borderId="2" xfId="0" applyFont="1" applyFill="1" applyBorder="1" applyAlignment="1">
      <alignment horizontal="center" wrapText="1"/>
    </xf>
    <xf numFmtId="0" fontId="5" fillId="5" borderId="19" xfId="0" applyFont="1" applyFill="1" applyBorder="1" applyAlignment="1">
      <alignment horizontal="center" wrapText="1"/>
    </xf>
    <xf numFmtId="0" fontId="4" fillId="3" borderId="2" xfId="0" applyFont="1" applyFill="1" applyBorder="1" applyAlignment="1">
      <alignment horizontal="center" vertical="center" wrapText="1"/>
    </xf>
    <xf numFmtId="4" fontId="4" fillId="0" borderId="5" xfId="1" applyNumberFormat="1" applyFont="1" applyFill="1" applyBorder="1" applyAlignment="1">
      <alignment horizontal="center" vertical="center" wrapText="1"/>
    </xf>
    <xf numFmtId="164" fontId="5" fillId="6" borderId="3" xfId="1"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164" fontId="19" fillId="0" borderId="0" xfId="0" applyNumberFormat="1" applyFont="1"/>
    <xf numFmtId="0" fontId="4" fillId="0" borderId="3" xfId="0" applyNumberFormat="1" applyFont="1" applyFill="1" applyBorder="1" applyAlignment="1">
      <alignment horizontal="left" vertical="top" wrapText="1"/>
    </xf>
    <xf numFmtId="0" fontId="5" fillId="6" borderId="2" xfId="0" applyFont="1" applyFill="1" applyBorder="1" applyAlignment="1">
      <alignment horizontal="left" vertical="top" wrapText="1"/>
    </xf>
    <xf numFmtId="0" fontId="4" fillId="3" borderId="3" xfId="0" applyNumberFormat="1" applyFont="1" applyFill="1" applyBorder="1" applyAlignment="1">
      <alignment horizontal="left" vertical="top" wrapText="1"/>
    </xf>
    <xf numFmtId="0" fontId="5" fillId="7" borderId="2" xfId="0" applyFont="1" applyFill="1" applyBorder="1" applyAlignment="1">
      <alignment horizontal="left" vertical="top" wrapText="1"/>
    </xf>
    <xf numFmtId="0" fontId="5" fillId="5" borderId="7" xfId="0" applyFont="1" applyFill="1" applyBorder="1" applyAlignment="1">
      <alignment horizontal="left" vertical="top" wrapText="1"/>
    </xf>
    <xf numFmtId="0" fontId="4" fillId="0" borderId="2" xfId="0" applyNumberFormat="1" applyFont="1" applyFill="1" applyBorder="1" applyAlignment="1">
      <alignment horizontal="left" vertical="top" wrapText="1"/>
    </xf>
    <xf numFmtId="4" fontId="1" fillId="0" borderId="2" xfId="0" applyNumberFormat="1" applyFont="1" applyBorder="1" applyAlignment="1">
      <alignment horizontal="center"/>
    </xf>
    <xf numFmtId="0" fontId="5" fillId="6" borderId="7"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3" borderId="2" xfId="0" applyNumberFormat="1" applyFont="1" applyFill="1" applyBorder="1" applyAlignment="1">
      <alignment horizontal="left" vertical="top" wrapText="1"/>
    </xf>
    <xf numFmtId="0" fontId="4" fillId="0" borderId="3" xfId="0" applyFont="1" applyBorder="1" applyAlignment="1">
      <alignment horizontal="left" vertical="top" wrapText="1"/>
    </xf>
    <xf numFmtId="0" fontId="22" fillId="3" borderId="2" xfId="0" applyFont="1" applyFill="1" applyBorder="1" applyAlignment="1">
      <alignment horizontal="left" vertical="top" wrapText="1"/>
    </xf>
    <xf numFmtId="164" fontId="5" fillId="6" borderId="2" xfId="1" applyFont="1" applyFill="1" applyBorder="1" applyAlignment="1">
      <alignment horizontal="left" vertical="top" wrapText="1"/>
    </xf>
    <xf numFmtId="49" fontId="4" fillId="0" borderId="3" xfId="0" applyNumberFormat="1" applyFont="1" applyFill="1" applyBorder="1" applyAlignment="1">
      <alignment horizontal="left" vertical="top" wrapText="1"/>
    </xf>
    <xf numFmtId="0" fontId="5" fillId="3" borderId="2" xfId="0" applyFont="1" applyFill="1" applyBorder="1" applyAlignment="1">
      <alignment horizontal="left" vertical="top" wrapText="1"/>
    </xf>
    <xf numFmtId="0" fontId="25" fillId="0" borderId="2" xfId="0" applyFont="1" applyBorder="1" applyAlignment="1">
      <alignment horizontal="left" vertical="top" wrapText="1"/>
    </xf>
    <xf numFmtId="0" fontId="26" fillId="0" borderId="0" xfId="0" applyFont="1" applyBorder="1" applyAlignment="1">
      <alignment horizontal="left" vertical="top" wrapText="1"/>
    </xf>
    <xf numFmtId="0" fontId="27" fillId="0" borderId="0" xfId="0" applyFont="1" applyBorder="1" applyAlignment="1">
      <alignment horizontal="left" vertical="top" wrapText="1"/>
    </xf>
    <xf numFmtId="0" fontId="28" fillId="0" borderId="0" xfId="0" applyFont="1" applyBorder="1" applyAlignment="1">
      <alignment horizontal="left" vertical="top" wrapText="1"/>
    </xf>
    <xf numFmtId="0" fontId="27" fillId="0" borderId="2" xfId="0" applyFont="1" applyBorder="1" applyAlignment="1">
      <alignment horizontal="left" vertical="top" wrapText="1"/>
    </xf>
    <xf numFmtId="0" fontId="28" fillId="0" borderId="2" xfId="0" applyFont="1" applyBorder="1" applyAlignment="1">
      <alignment horizontal="left" vertical="top" wrapText="1"/>
    </xf>
    <xf numFmtId="0" fontId="25" fillId="3" borderId="2" xfId="0" applyFont="1" applyFill="1" applyBorder="1" applyAlignment="1">
      <alignment horizontal="left" vertical="top" wrapText="1"/>
    </xf>
    <xf numFmtId="0" fontId="25" fillId="0" borderId="2" xfId="0" applyNumberFormat="1" applyFont="1" applyFill="1" applyBorder="1" applyAlignment="1">
      <alignment horizontal="left" vertical="top" wrapText="1"/>
    </xf>
    <xf numFmtId="164" fontId="22" fillId="6" borderId="2" xfId="1" applyFont="1" applyFill="1" applyBorder="1" applyAlignment="1">
      <alignment horizontal="left" vertical="top" wrapText="1"/>
    </xf>
    <xf numFmtId="0" fontId="22" fillId="7" borderId="2" xfId="0" applyFont="1" applyFill="1" applyBorder="1" applyAlignment="1">
      <alignment horizontal="left" vertical="top" wrapText="1"/>
    </xf>
    <xf numFmtId="0" fontId="22" fillId="5" borderId="2" xfId="0" applyFont="1" applyFill="1" applyBorder="1" applyAlignment="1">
      <alignment horizontal="left" vertical="top" wrapText="1"/>
    </xf>
    <xf numFmtId="0" fontId="25" fillId="0" borderId="3" xfId="0" applyNumberFormat="1" applyFont="1" applyFill="1" applyBorder="1" applyAlignment="1">
      <alignment horizontal="left" vertical="top" wrapText="1"/>
    </xf>
    <xf numFmtId="0" fontId="4" fillId="0" borderId="7" xfId="0" applyFont="1" applyBorder="1" applyAlignment="1">
      <alignment vertical="center" wrapText="1"/>
    </xf>
    <xf numFmtId="0" fontId="5" fillId="3" borderId="3" xfId="0" applyFont="1" applyFill="1" applyBorder="1" applyAlignment="1">
      <alignment horizontal="left" vertical="top" wrapText="1"/>
    </xf>
    <xf numFmtId="4" fontId="4" fillId="0" borderId="20" xfId="1" applyNumberFormat="1" applyFont="1" applyFill="1" applyBorder="1" applyAlignment="1">
      <alignment horizontal="center" vertical="center" wrapText="1"/>
    </xf>
    <xf numFmtId="4" fontId="4" fillId="3" borderId="3" xfId="0" applyNumberFormat="1" applyFont="1" applyFill="1" applyBorder="1" applyAlignment="1">
      <alignment horizontal="left" vertical="top" wrapText="1"/>
    </xf>
    <xf numFmtId="4" fontId="13" fillId="0" borderId="3" xfId="0" applyNumberFormat="1" applyFont="1" applyBorder="1" applyAlignment="1">
      <alignment horizontal="center"/>
    </xf>
    <xf numFmtId="4" fontId="13" fillId="0" borderId="18" xfId="0" applyNumberFormat="1" applyFont="1" applyBorder="1" applyAlignment="1">
      <alignment horizontal="center"/>
    </xf>
    <xf numFmtId="0" fontId="13" fillId="4" borderId="8" xfId="0" applyFont="1" applyFill="1" applyBorder="1" applyAlignment="1">
      <alignment horizontal="left" vertical="top"/>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64" fontId="0" fillId="0" borderId="0" xfId="0" applyNumberFormat="1" applyFont="1"/>
    <xf numFmtId="0" fontId="4" fillId="0" borderId="2"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4" fontId="4" fillId="0" borderId="9" xfId="0" applyNumberFormat="1" applyFont="1" applyBorder="1" applyAlignment="1">
      <alignment horizontal="center" vertical="center" wrapText="1"/>
    </xf>
    <xf numFmtId="14" fontId="4" fillId="0" borderId="9" xfId="0" applyNumberFormat="1"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17" xfId="0" applyNumberFormat="1" applyFont="1" applyFill="1" applyBorder="1" applyAlignment="1">
      <alignment horizontal="center" vertical="center" wrapText="1"/>
    </xf>
    <xf numFmtId="0" fontId="25" fillId="3" borderId="2" xfId="0" applyNumberFormat="1" applyFont="1" applyFill="1" applyBorder="1" applyAlignment="1">
      <alignment horizontal="left" vertical="top" wrapText="1"/>
    </xf>
    <xf numFmtId="14" fontId="4" fillId="3" borderId="2" xfId="0" applyNumberFormat="1" applyFont="1" applyFill="1" applyBorder="1" applyAlignment="1">
      <alignment horizontal="center" vertical="center" wrapText="1"/>
    </xf>
    <xf numFmtId="0" fontId="5" fillId="3" borderId="14" xfId="0" applyFont="1" applyFill="1" applyBorder="1" applyAlignment="1">
      <alignment horizontal="center" wrapText="1"/>
    </xf>
    <xf numFmtId="0" fontId="5" fillId="3" borderId="7" xfId="0" applyFont="1" applyFill="1" applyBorder="1" applyAlignment="1">
      <alignment horizontal="center" wrapText="1"/>
    </xf>
    <xf numFmtId="0" fontId="4" fillId="3"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3" borderId="21" xfId="0" applyFont="1" applyFill="1" applyBorder="1" applyAlignment="1">
      <alignment horizontal="center" vertical="center" wrapText="1"/>
    </xf>
    <xf numFmtId="14" fontId="4" fillId="3" borderId="9" xfId="0" applyNumberFormat="1" applyFont="1" applyFill="1" applyBorder="1" applyAlignment="1">
      <alignment horizontal="center" vertical="center" wrapText="1"/>
    </xf>
    <xf numFmtId="164" fontId="1" fillId="0" borderId="0" xfId="0" applyNumberFormat="1" applyFont="1"/>
    <xf numFmtId="164" fontId="18" fillId="0" borderId="0" xfId="0" applyNumberFormat="1" applyFont="1" applyBorder="1"/>
    <xf numFmtId="164" fontId="11" fillId="0" borderId="0" xfId="0" applyNumberFormat="1" applyFont="1"/>
    <xf numFmtId="4" fontId="18" fillId="0" borderId="0" xfId="0" applyNumberFormat="1" applyFont="1"/>
    <xf numFmtId="4" fontId="4" fillId="0" borderId="0" xfId="7" applyNumberFormat="1" applyFont="1" applyFill="1" applyBorder="1" applyAlignment="1">
      <alignment horizontal="center" vertical="center" wrapText="1"/>
    </xf>
    <xf numFmtId="164" fontId="29" fillId="0" borderId="0" xfId="1" applyFont="1"/>
    <xf numFmtId="165" fontId="29" fillId="0" borderId="0" xfId="1" applyNumberFormat="1" applyFont="1"/>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9" xfId="0" applyFont="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5" fillId="5" borderId="9" xfId="0" applyFont="1" applyFill="1" applyBorder="1" applyAlignment="1">
      <alignment horizontal="center" wrapText="1"/>
    </xf>
    <xf numFmtId="0" fontId="5" fillId="5" borderId="9" xfId="0" applyFont="1" applyFill="1" applyBorder="1" applyAlignment="1">
      <alignment horizontal="left" vertical="top" wrapText="1"/>
    </xf>
    <xf numFmtId="164" fontId="5" fillId="6" borderId="17" xfId="1" applyFont="1" applyFill="1" applyBorder="1" applyAlignment="1">
      <alignment vertical="center" wrapText="1"/>
    </xf>
    <xf numFmtId="164" fontId="5" fillId="6" borderId="3" xfId="1" applyFont="1" applyFill="1" applyBorder="1" applyAlignment="1">
      <alignment vertical="center" wrapText="1"/>
    </xf>
    <xf numFmtId="0" fontId="5" fillId="3" borderId="2" xfId="0" applyFont="1" applyFill="1" applyBorder="1" applyAlignment="1">
      <alignment horizontal="center" wrapText="1"/>
    </xf>
    <xf numFmtId="4" fontId="4" fillId="0" borderId="2" xfId="0" applyNumberFormat="1" applyFont="1" applyBorder="1" applyAlignment="1">
      <alignment horizontal="center" vertical="center" wrapText="1"/>
    </xf>
    <xf numFmtId="164" fontId="5" fillId="7" borderId="2" xfId="0" applyNumberFormat="1" applyFont="1" applyFill="1" applyBorder="1" applyAlignment="1">
      <alignment wrapText="1"/>
    </xf>
    <xf numFmtId="0" fontId="5" fillId="3" borderId="7" xfId="0"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 fontId="5" fillId="7" borderId="2" xfId="1" applyNumberFormat="1" applyFont="1" applyFill="1" applyBorder="1" applyAlignment="1">
      <alignment horizontal="right" vertical="center" wrapText="1"/>
    </xf>
    <xf numFmtId="4" fontId="5" fillId="6" borderId="2" xfId="1" applyNumberFormat="1" applyFont="1" applyFill="1" applyBorder="1" applyAlignment="1">
      <alignment horizontal="right" vertical="center" wrapText="1"/>
    </xf>
    <xf numFmtId="0" fontId="5" fillId="3" borderId="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NumberFormat="1" applyFont="1" applyFill="1" applyBorder="1" applyAlignment="1">
      <alignment horizontal="left" vertical="top" wrapText="1"/>
    </xf>
    <xf numFmtId="164" fontId="17" fillId="0" borderId="0" xfId="1" applyNumberFormat="1" applyFont="1"/>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3" fontId="4" fillId="0" borderId="1" xfId="7" applyNumberFormat="1" applyFont="1" applyFill="1" applyBorder="1" applyAlignment="1">
      <alignment horizontal="center" vertical="center" wrapText="1"/>
    </xf>
    <xf numFmtId="3" fontId="4" fillId="0" borderId="13" xfId="7" applyNumberFormat="1" applyFont="1" applyFill="1" applyBorder="1" applyAlignment="1">
      <alignment horizontal="center" vertical="center" wrapText="1"/>
    </xf>
    <xf numFmtId="3" fontId="4" fillId="0" borderId="2" xfId="7" applyNumberFormat="1" applyFont="1" applyFill="1" applyBorder="1" applyAlignment="1">
      <alignment horizontal="center" vertical="center" wrapText="1"/>
    </xf>
    <xf numFmtId="3" fontId="4" fillId="0" borderId="4" xfId="7" applyNumberFormat="1" applyFont="1" applyFill="1" applyBorder="1" applyAlignment="1">
      <alignment horizontal="center" vertical="center" wrapText="1"/>
    </xf>
    <xf numFmtId="3" fontId="4" fillId="0" borderId="10" xfId="7" applyNumberFormat="1" applyFont="1" applyFill="1" applyBorder="1" applyAlignment="1">
      <alignment horizontal="center" vertical="center" wrapText="1"/>
    </xf>
    <xf numFmtId="3" fontId="4" fillId="0" borderId="11" xfId="7"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3" borderId="6" xfId="0" applyNumberFormat="1" applyFont="1" applyFill="1" applyBorder="1" applyAlignment="1">
      <alignment horizontal="center" vertical="center" wrapText="1"/>
    </xf>
    <xf numFmtId="0" fontId="4" fillId="3" borderId="7" xfId="0" applyNumberFormat="1" applyFont="1" applyFill="1" applyBorder="1" applyAlignment="1">
      <alignment horizontal="center" vertical="center" wrapText="1"/>
    </xf>
    <xf numFmtId="0" fontId="4" fillId="3" borderId="8" xfId="0"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4" fontId="4" fillId="3" borderId="7" xfId="0" applyNumberFormat="1" applyFont="1" applyFill="1" applyBorder="1" applyAlignment="1">
      <alignment horizontal="center" vertical="center" wrapText="1"/>
    </xf>
    <xf numFmtId="4" fontId="4" fillId="3" borderId="8"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4" fontId="4" fillId="3" borderId="4"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4" fontId="4" fillId="8" borderId="1"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13" fillId="3" borderId="9" xfId="0" applyFont="1" applyFill="1" applyBorder="1" applyAlignment="1">
      <alignment horizontal="center" vertical="center" wrapText="1"/>
    </xf>
    <xf numFmtId="0" fontId="13" fillId="3" borderId="3" xfId="0"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0" fontId="5" fillId="3" borderId="3" xfId="0" applyFont="1" applyFill="1" applyBorder="1" applyAlignment="1">
      <alignment horizontal="center" wrapText="1"/>
    </xf>
    <xf numFmtId="164" fontId="30" fillId="6" borderId="2" xfId="1" applyFont="1" applyFill="1" applyBorder="1" applyAlignment="1">
      <alignment horizontal="center" vertical="center" wrapText="1"/>
    </xf>
    <xf numFmtId="9" fontId="30" fillId="6" borderId="3" xfId="0" applyNumberFormat="1" applyFont="1" applyFill="1" applyBorder="1" applyAlignment="1">
      <alignment horizontal="center" vertical="center" wrapText="1"/>
    </xf>
  </cellXfs>
  <cellStyles count="8">
    <cellStyle name="Comma" xfId="1" builtinId="3"/>
    <cellStyle name="Normal" xfId="0" builtinId="0"/>
    <cellStyle name="Normal 26" xfId="3"/>
    <cellStyle name="Normal 26 2" xfId="6"/>
    <cellStyle name="Normal 27" xfId="5"/>
    <cellStyle name="Normal 29" xfId="2"/>
    <cellStyle name="Normal 30" xfId="4"/>
    <cellStyle name="Normal__Fin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externalLink" Target="externalLinks/externalLink2.xml"/><Relationship Id="rId9" Type="http://schemas.openxmlformats.org/officeDocument/2006/relationships/revisionHeaders" Target="revisions/revisionHeader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multiLvlStrRef>
              <c:f>'Contracte semnate'!$Q$145:$W$182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semnate'!#REF!</c:f>
              <c:numCache>
                <c:formatCode>General</c:formatCode>
                <c:ptCount val="1"/>
                <c:pt idx="0">
                  <c:v>1</c:v>
                </c:pt>
              </c:numCache>
            </c:numRef>
          </c:val>
        </c:ser>
        <c:ser>
          <c:idx val="1"/>
          <c:order val="1"/>
          <c:invertIfNegative val="0"/>
          <c:cat>
            <c:multiLvlStrRef>
              <c:f>'Contracte semnate'!$Q$145:$W$182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semnate'!#REF!</c:f>
              <c:numCache>
                <c:formatCode>General</c:formatCode>
                <c:ptCount val="1"/>
                <c:pt idx="0">
                  <c:v>1</c:v>
                </c:pt>
              </c:numCache>
            </c:numRef>
          </c:val>
        </c:ser>
        <c:ser>
          <c:idx val="2"/>
          <c:order val="2"/>
          <c:invertIfNegative val="0"/>
          <c:cat>
            <c:multiLvlStrRef>
              <c:f>'Contracte semnate'!$Q$145:$W$182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semnate'!$Y$145:$Y$182</c:f>
              <c:numCache>
                <c:formatCode>#,##0.00</c:formatCode>
                <c:ptCount val="38"/>
                <c:pt idx="0">
                  <c:v>310909.69</c:v>
                </c:pt>
                <c:pt idx="1">
                  <c:v>350131.77</c:v>
                </c:pt>
                <c:pt idx="2">
                  <c:v>227755.8</c:v>
                </c:pt>
                <c:pt idx="3">
                  <c:v>625255.04</c:v>
                </c:pt>
                <c:pt idx="4">
                  <c:v>458660.31000000006</c:v>
                </c:pt>
                <c:pt idx="5">
                  <c:v>133384.18</c:v>
                </c:pt>
                <c:pt idx="6">
                  <c:v>171448.05</c:v>
                </c:pt>
                <c:pt idx="7">
                  <c:v>163143.9</c:v>
                </c:pt>
                <c:pt idx="8">
                  <c:v>278253.65999999997</c:v>
                </c:pt>
                <c:pt idx="9">
                  <c:v>690465.96</c:v>
                </c:pt>
                <c:pt idx="10">
                  <c:v>519361.09000000008</c:v>
                </c:pt>
                <c:pt idx="11">
                  <c:v>75681.45</c:v>
                </c:pt>
                <c:pt idx="12">
                  <c:v>1146678.3599999999</c:v>
                </c:pt>
                <c:pt idx="13">
                  <c:v>271531.98</c:v>
                </c:pt>
                <c:pt idx="14">
                  <c:v>237074.21</c:v>
                </c:pt>
                <c:pt idx="15">
                  <c:v>58637.25</c:v>
                </c:pt>
                <c:pt idx="16">
                  <c:v>225204.52000000002</c:v>
                </c:pt>
                <c:pt idx="17">
                  <c:v>51164.63</c:v>
                </c:pt>
                <c:pt idx="18">
                  <c:v>155090.29999999999</c:v>
                </c:pt>
                <c:pt idx="19">
                  <c:v>243907.15000000002</c:v>
                </c:pt>
                <c:pt idx="20">
                  <c:v>305663.20999999996</c:v>
                </c:pt>
                <c:pt idx="21">
                  <c:v>56602.35</c:v>
                </c:pt>
                <c:pt idx="22">
                  <c:v>339728.85</c:v>
                </c:pt>
                <c:pt idx="23">
                  <c:v>109631.18999999999</c:v>
                </c:pt>
                <c:pt idx="24">
                  <c:v>180350.62</c:v>
                </c:pt>
                <c:pt idx="25">
                  <c:v>60523.26</c:v>
                </c:pt>
                <c:pt idx="26">
                  <c:v>514168.67</c:v>
                </c:pt>
                <c:pt idx="27">
                  <c:v>85039.1</c:v>
                </c:pt>
                <c:pt idx="28">
                  <c:v>49226.9</c:v>
                </c:pt>
                <c:pt idx="29">
                  <c:v>144950.93</c:v>
                </c:pt>
                <c:pt idx="30">
                  <c:v>389418.15</c:v>
                </c:pt>
                <c:pt idx="31">
                  <c:v>12349.65</c:v>
                </c:pt>
                <c:pt idx="32">
                  <c:v>0</c:v>
                </c:pt>
                <c:pt idx="33">
                  <c:v>8641392.1799999997</c:v>
                </c:pt>
                <c:pt idx="34">
                  <c:v>0</c:v>
                </c:pt>
                <c:pt idx="35">
                  <c:v>5060872.93</c:v>
                </c:pt>
                <c:pt idx="36">
                  <c:v>5060872.93</c:v>
                </c:pt>
                <c:pt idx="37">
                  <c:v>13702265.109999999</c:v>
                </c:pt>
              </c:numCache>
            </c:numRef>
          </c:val>
        </c:ser>
        <c:ser>
          <c:idx val="3"/>
          <c:order val="3"/>
          <c:invertIfNegative val="0"/>
          <c:cat>
            <c:multiLvlStrRef>
              <c:f>'Contracte semnate'!$Q$145:$W$182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semnate'!$Z$145:$Z$182</c:f>
              <c:numCache>
                <c:formatCode>#,##0.00</c:formatCode>
                <c:ptCount val="38"/>
                <c:pt idx="0">
                  <c:v>54866.42</c:v>
                </c:pt>
                <c:pt idx="1">
                  <c:v>61787.96</c:v>
                </c:pt>
                <c:pt idx="2">
                  <c:v>40192.199999999997</c:v>
                </c:pt>
                <c:pt idx="3">
                  <c:v>110339.11000000002</c:v>
                </c:pt>
                <c:pt idx="4">
                  <c:v>80940.059999999983</c:v>
                </c:pt>
                <c:pt idx="5">
                  <c:v>23538.38</c:v>
                </c:pt>
                <c:pt idx="6">
                  <c:v>30255.530000000002</c:v>
                </c:pt>
                <c:pt idx="7">
                  <c:v>28790.100000000002</c:v>
                </c:pt>
                <c:pt idx="8">
                  <c:v>49103.590000000004</c:v>
                </c:pt>
                <c:pt idx="9">
                  <c:v>121846.94</c:v>
                </c:pt>
                <c:pt idx="10">
                  <c:v>91651.97</c:v>
                </c:pt>
                <c:pt idx="11">
                  <c:v>13355.550000000001</c:v>
                </c:pt>
                <c:pt idx="12">
                  <c:v>202355.01</c:v>
                </c:pt>
                <c:pt idx="13">
                  <c:v>47917.409999999996</c:v>
                </c:pt>
                <c:pt idx="14">
                  <c:v>41836.620000000003</c:v>
                </c:pt>
                <c:pt idx="15">
                  <c:v>10347.75</c:v>
                </c:pt>
                <c:pt idx="16">
                  <c:v>39741.979999999996</c:v>
                </c:pt>
                <c:pt idx="17">
                  <c:v>9029.0499999999993</c:v>
                </c:pt>
                <c:pt idx="18">
                  <c:v>27368.879999999997</c:v>
                </c:pt>
                <c:pt idx="19">
                  <c:v>43042.439999999995</c:v>
                </c:pt>
                <c:pt idx="20">
                  <c:v>53940.57</c:v>
                </c:pt>
                <c:pt idx="21">
                  <c:v>9988.65</c:v>
                </c:pt>
                <c:pt idx="22">
                  <c:v>59952.160000000011</c:v>
                </c:pt>
                <c:pt idx="23">
                  <c:v>19346.690000000002</c:v>
                </c:pt>
                <c:pt idx="24">
                  <c:v>31826.58</c:v>
                </c:pt>
                <c:pt idx="25">
                  <c:v>10680.57</c:v>
                </c:pt>
                <c:pt idx="26">
                  <c:v>90735.65</c:v>
                </c:pt>
                <c:pt idx="27">
                  <c:v>15006.9</c:v>
                </c:pt>
                <c:pt idx="28">
                  <c:v>8687.1</c:v>
                </c:pt>
                <c:pt idx="29">
                  <c:v>25579.57</c:v>
                </c:pt>
                <c:pt idx="30">
                  <c:v>68720.850000000006</c:v>
                </c:pt>
                <c:pt idx="31">
                  <c:v>2179.35</c:v>
                </c:pt>
                <c:pt idx="32">
                  <c:v>0</c:v>
                </c:pt>
                <c:pt idx="33">
                  <c:v>1524951.59</c:v>
                </c:pt>
                <c:pt idx="34">
                  <c:v>0</c:v>
                </c:pt>
                <c:pt idx="35">
                  <c:v>774015.86</c:v>
                </c:pt>
                <c:pt idx="36">
                  <c:v>774015.86</c:v>
                </c:pt>
                <c:pt idx="37">
                  <c:v>2298967.4500000002</c:v>
                </c:pt>
              </c:numCache>
            </c:numRef>
          </c:val>
        </c:ser>
        <c:ser>
          <c:idx val="4"/>
          <c:order val="4"/>
          <c:invertIfNegative val="0"/>
          <c:cat>
            <c:multiLvlStrRef>
              <c:f>'Contracte semnate'!$Q$145:$W$182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semnate'!$AA$145:$AA$182</c:f>
              <c:numCache>
                <c:formatCode>General</c:formatCode>
                <c:ptCount val="38"/>
              </c:numCache>
            </c:numRef>
          </c:val>
        </c:ser>
        <c:dLbls>
          <c:showLegendKey val="0"/>
          <c:showVal val="0"/>
          <c:showCatName val="0"/>
          <c:showSerName val="0"/>
          <c:showPercent val="0"/>
          <c:showBubbleSize val="0"/>
        </c:dLbls>
        <c:gapWidth val="150"/>
        <c:axId val="310461888"/>
        <c:axId val="310779856"/>
      </c:barChart>
      <c:catAx>
        <c:axId val="310461888"/>
        <c:scaling>
          <c:orientation val="minMax"/>
        </c:scaling>
        <c:delete val="0"/>
        <c:axPos val="b"/>
        <c:numFmt formatCode="General" sourceLinked="0"/>
        <c:majorTickMark val="out"/>
        <c:minorTickMark val="none"/>
        <c:tickLblPos val="nextTo"/>
        <c:crossAx val="310779856"/>
        <c:crosses val="autoZero"/>
        <c:auto val="1"/>
        <c:lblAlgn val="ctr"/>
        <c:lblOffset val="100"/>
        <c:noMultiLvlLbl val="0"/>
      </c:catAx>
      <c:valAx>
        <c:axId val="310779856"/>
        <c:scaling>
          <c:orientation val="minMax"/>
        </c:scaling>
        <c:delete val="0"/>
        <c:axPos val="l"/>
        <c:majorGridlines/>
        <c:numFmt formatCode="General" sourceLinked="1"/>
        <c:majorTickMark val="out"/>
        <c:minorTickMark val="none"/>
        <c:tickLblPos val="nextTo"/>
        <c:crossAx val="31046188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89" workbookViewId="0" zoomToFit="1"/>
  </sheetViews>
  <customSheetViews>
    <customSheetView guid="{08ABD1B6-502E-42CC-A0EF-58776D0102FE}" scale="89" zoomToFit="1">
      <pageMargins left="0.7" right="0.7" top="0.75" bottom="0.75" header="0.3" footer="0.3"/>
    </customSheetView>
    <customSheetView guid="{0E2002C0-88DC-479A-B983-CA340E3274B8}" scale="89" zoomToFit="1">
      <pageMargins left="0.7" right="0.7" top="0.75" bottom="0.75" header="0.3" footer="0.3"/>
    </customSheetView>
    <customSheetView guid="{0F598BC0-9523-4AD3-94A3-BDEC8367FE11}" scale="89" zoomToFit="1">
      <pageMargins left="0.7" right="0.7" top="0.75" bottom="0.75" header="0.3" footer="0.3"/>
    </customSheetView>
    <customSheetView guid="{61C44EA8-4687-4D4E-A1ED-359DF81A71FB}" scale="89" zoomToFit="1">
      <pageMargins left="0.7" right="0.7" top="0.75" bottom="0.75" header="0.3" footer="0.3"/>
    </customSheetView>
    <customSheetView guid="{B8EFA5E8-2E8C-450C-9395-D582737418AA}" scale="89" zoomToFit="1">
      <pageMargins left="0.7" right="0.7" top="0.75" bottom="0.75" header="0.3" footer="0.3"/>
    </customSheetView>
    <customSheetView guid="{216972B4-771A-4607-A8B4-AC73D5CD6C1A}" scale="89" zoomToFit="1">
      <pageMargins left="0.7" right="0.7" top="0.75" bottom="0.75" header="0.3" footer="0.3"/>
    </customSheetView>
    <customSheetView guid="{64D2264B-4E86-4FBB-93B3-BEE727888DFE}" scale="89" zoomToFit="1">
      <pageMargins left="0.7" right="0.7" top="0.75" bottom="0.75" header="0.3" footer="0.3"/>
    </customSheetView>
    <customSheetView guid="{79FA8BE5-7D13-4EF3-B35A-76ACF1C0DF3C}" scale="89" zoomToFit="1">
      <pageMargins left="0.7" right="0.7" top="0.75" bottom="0.75" header="0.3" footer="0.3"/>
    </customSheetView>
    <customSheetView guid="{E1C13DC2-98C2-4597-8D1A-C9F2C3CA60EC}" scale="89" zoomToFit="1">
      <pageMargins left="0.7" right="0.7" top="0.75" bottom="0.75" header="0.3" footer="0.3"/>
    </customSheetView>
    <customSheetView guid="{E10820C0-32CD-441A-8635-65479FE7CBA3}" scale="76" zoomToFit="1">
      <pageMargins left="0.7" right="0.7" top="0.75" bottom="0.75" header="0.3" footer="0.3"/>
    </customSheetView>
    <customSheetView guid="{2234C728-15E1-4BAF-98DE-620726961552}" scale="76" zoomToFit="1">
      <pageMargins left="0.7" right="0.7" top="0.75" bottom="0.75" header="0.3" footer="0.3"/>
    </customSheetView>
    <customSheetView guid="{3EBF2DB4-84D7-478D-9896-C4DA08B65D0C}" scale="89" zoomToFit="1">
      <pageMargins left="0.7" right="0.7" top="0.75" bottom="0.75" header="0.3" footer="0.3"/>
    </customSheetView>
    <customSheetView guid="{437FD6EF-32B2-4DE0-BA89-93A7E3EF04C5}" scale="89" zoomToFit="1">
      <pageMargins left="0.7" right="0.7" top="0.75" bottom="0.75" header="0.3" footer="0.3"/>
    </customSheetView>
    <customSheetView guid="{83337B45-5054-4200-BF9E-4E1DC1896214}" scale="89" zoomToFit="1">
      <pageMargins left="0.7" right="0.7" top="0.75" bottom="0.75" header="0.3" footer="0.3"/>
    </customSheetView>
    <customSheetView guid="{9E851A6A-17B1-4E6F-A007-493445D427B8}" scale="89" zoomToFit="1">
      <pageMargins left="0.7" right="0.7" top="0.75" bottom="0.75" header="0.3" footer="0.3"/>
    </customSheetView>
    <customSheetView guid="{DB90939E-72BD-4CED-BFB6-BD74FF913DB3}" scale="89" zoomToFit="1">
      <pageMargins left="0.7" right="0.7" top="0.75" bottom="0.75" header="0.3" footer="0.3"/>
    </customSheetView>
    <customSheetView guid="{413D6799-9F75-47FF-8A9E-5CB9283B7BBE}" scale="89" zoomToFit="1">
      <pageMargins left="0.7" right="0.7" top="0.75" bottom="0.75" header="0.3" footer="0.3"/>
    </customSheetView>
    <customSheetView guid="{E4462EA5-1112-4F42-BE37-A867D6FC853C}" scale="112" zoomToFit="1">
      <pageMargins left="0.7" right="0.7" top="0.75" bottom="0.75" header="0.3" footer="0.3"/>
    </customSheetView>
    <customSheetView guid="{ECCC7D97-A0C3-4C50-BA03-A8D24BCD22BE}" scale="89" zoomToFit="1">
      <pageMargins left="0.7" right="0.7" top="0.75" bottom="0.75" header="0.3" footer="0.3"/>
    </customSheetView>
    <customSheetView guid="{F4C96D22-891C-4B3C-B57B-7878195B2E7E}"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0253" cy="61109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a.cirlig/Downloads/rap%20sapt%2015.09/15.09.2017/rap%20sapt%2008.09/doc%20suport/Raportare%2031.05.2017/Delia/Anexa%203%20-%20Lista%20contractelor%20semnate_curent%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rela.Cosovan/Downloads/raportare%20DCSM%2030.11.2017/ANEXELE%20FINALE/Anexa%20%202.2%20-%20%20Plati%20POIM_30.1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semnate POIM"/>
      <sheetName val="Contracte semnate"/>
      <sheetName val="proiecte în contractare"/>
    </sheetNames>
    <sheetDataSet>
      <sheetData sheetId="0" refreshError="1">
        <row r="16">
          <cell r="D16" t="str">
            <v>Fazarea proiectului Sistem de management integrat al deșeurilor în județul Brăila</v>
          </cell>
          <cell r="J16">
            <v>25698573</v>
          </cell>
          <cell r="K16">
            <v>3930370</v>
          </cell>
          <cell r="L16">
            <v>604672</v>
          </cell>
          <cell r="M16">
            <v>489798</v>
          </cell>
          <cell r="N16">
            <v>3457632</v>
          </cell>
        </row>
        <row r="17">
          <cell r="D17" t="str">
            <v>Fazarea proiectului Sistem de management integrat al deseurilor în județul Alba</v>
          </cell>
          <cell r="J17">
            <v>58588057</v>
          </cell>
          <cell r="K17">
            <v>8960526</v>
          </cell>
          <cell r="L17">
            <v>1378543</v>
          </cell>
          <cell r="M17">
            <v>24564898</v>
          </cell>
          <cell r="N17">
            <v>6197807</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ti efectuate"/>
    </sheetNames>
    <sheetDataSet>
      <sheetData sheetId="0">
        <row r="45">
          <cell r="B45" t="str">
            <v>AP 6, OS 6.2. Monitorizarea consumului energie pentru consumatori industriali</v>
          </cell>
        </row>
      </sheetData>
    </sheetDataSet>
  </externalBook>
</externalLink>
</file>

<file path=xl/revisions/_rels/revisionHeaders.xml.rels><?xml version="1.0" encoding="UTF-8" standalone="yes"?>
<Relationships xmlns="http://schemas.openxmlformats.org/package/2006/relationships"><Relationship Id="rId418" Type="http://schemas.openxmlformats.org/officeDocument/2006/relationships/revisionLog" Target="revisionLog50.xml"/><Relationship Id="rId426" Type="http://schemas.openxmlformats.org/officeDocument/2006/relationships/revisionLog" Target="revisionLog58.xml"/><Relationship Id="rId439" Type="http://schemas.openxmlformats.org/officeDocument/2006/relationships/revisionLog" Target="revisionLog11.xml"/><Relationship Id="rId421" Type="http://schemas.openxmlformats.org/officeDocument/2006/relationships/revisionLog" Target="revisionLog53.xml"/><Relationship Id="rId434" Type="http://schemas.openxmlformats.org/officeDocument/2006/relationships/revisionLog" Target="revisionLog6.xml"/><Relationship Id="rId442" Type="http://schemas.openxmlformats.org/officeDocument/2006/relationships/revisionLog" Target="revisionLog14.xml"/><Relationship Id="rId417" Type="http://schemas.openxmlformats.org/officeDocument/2006/relationships/revisionLog" Target="revisionLog49.xml"/><Relationship Id="rId425" Type="http://schemas.openxmlformats.org/officeDocument/2006/relationships/revisionLog" Target="revisionLog57.xml"/><Relationship Id="rId420" Type="http://schemas.openxmlformats.org/officeDocument/2006/relationships/revisionLog" Target="revisionLog52.xml"/><Relationship Id="rId433" Type="http://schemas.openxmlformats.org/officeDocument/2006/relationships/revisionLog" Target="revisionLog5.xml"/><Relationship Id="rId438" Type="http://schemas.openxmlformats.org/officeDocument/2006/relationships/revisionLog" Target="revisionLog10.xml"/><Relationship Id="rId429" Type="http://schemas.openxmlformats.org/officeDocument/2006/relationships/revisionLog" Target="revisionLog1.xml"/><Relationship Id="rId441" Type="http://schemas.openxmlformats.org/officeDocument/2006/relationships/revisionLog" Target="revisionLog13.xml"/><Relationship Id="rId424" Type="http://schemas.openxmlformats.org/officeDocument/2006/relationships/revisionLog" Target="revisionLog56.xml"/><Relationship Id="rId432" Type="http://schemas.openxmlformats.org/officeDocument/2006/relationships/revisionLog" Target="revisionLog4.xml"/><Relationship Id="rId437" Type="http://schemas.openxmlformats.org/officeDocument/2006/relationships/revisionLog" Target="revisionLog9.xml"/><Relationship Id="rId440" Type="http://schemas.openxmlformats.org/officeDocument/2006/relationships/revisionLog" Target="revisionLog12.xml"/><Relationship Id="rId423" Type="http://schemas.openxmlformats.org/officeDocument/2006/relationships/revisionLog" Target="revisionLog55.xml"/><Relationship Id="rId428" Type="http://schemas.openxmlformats.org/officeDocument/2006/relationships/revisionLog" Target="revisionLog60.xml"/><Relationship Id="rId436" Type="http://schemas.openxmlformats.org/officeDocument/2006/relationships/revisionLog" Target="revisionLog8.xml"/><Relationship Id="rId419" Type="http://schemas.openxmlformats.org/officeDocument/2006/relationships/revisionLog" Target="revisionLog51.xml"/><Relationship Id="rId431" Type="http://schemas.openxmlformats.org/officeDocument/2006/relationships/revisionLog" Target="revisionLog3.xml"/><Relationship Id="rId427" Type="http://schemas.openxmlformats.org/officeDocument/2006/relationships/revisionLog" Target="revisionLog59.xml"/><Relationship Id="rId422" Type="http://schemas.openxmlformats.org/officeDocument/2006/relationships/revisionLog" Target="revisionLog54.xml"/><Relationship Id="rId430" Type="http://schemas.openxmlformats.org/officeDocument/2006/relationships/revisionLog" Target="revisionLog2.xml"/><Relationship Id="rId435" Type="http://schemas.openxmlformats.org/officeDocument/2006/relationships/revisionLog" Target="revisionLog7.xml"/><Relationship Id="rId443" Type="http://schemas.openxmlformats.org/officeDocument/2006/relationships/revisionLog" Target="revisionLog1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23CB234-9BF4-48BF-8233-E965ABE5D3DC}" diskRevisions="1" revisionId="3496" version="8">
  <header guid="{F2D49CB1-7603-4BB5-AE6B-29C845EF3B32}" dateTime="2018-01-09T12:47:43" maxSheetId="3" userName="Daniela Ionela Cirlig" r:id="rId417">
    <sheetIdMap count="2">
      <sheetId val="1"/>
      <sheetId val="2"/>
    </sheetIdMap>
  </header>
  <header guid="{08A2A016-0116-43E3-9D75-18DBDA037C7A}" dateTime="2018-01-09T13:36:58" maxSheetId="3" userName="Daniela Ionela Cirlig" r:id="rId418" minRId="3068">
    <sheetIdMap count="2">
      <sheetId val="1"/>
      <sheetId val="2"/>
    </sheetIdMap>
  </header>
  <header guid="{7ED61B4A-042B-4273-A412-1BA88B878D6B}" dateTime="2018-01-16T13:59:36" maxSheetId="3" userName="Daniela Ionela Cirlig" r:id="rId419" minRId="3069" maxRId="3070">
    <sheetIdMap count="2">
      <sheetId val="1"/>
      <sheetId val="2"/>
    </sheetIdMap>
  </header>
  <header guid="{C20F971E-994D-4DB8-9831-789104341BE0}" dateTime="2018-01-16T14:02:38" maxSheetId="3" userName="Daniela Ionela Cirlig" r:id="rId420">
    <sheetIdMap count="2">
      <sheetId val="1"/>
      <sheetId val="2"/>
    </sheetIdMap>
  </header>
  <header guid="{6FEB6A27-8C36-401A-BDED-FB243C963402}" dateTime="2018-01-16T14:02:45" maxSheetId="3" userName="Daniela Ionela Cirlig" r:id="rId421">
    <sheetIdMap count="2">
      <sheetId val="1"/>
      <sheetId val="2"/>
    </sheetIdMap>
  </header>
  <header guid="{D2B92A03-C5E1-48BE-A610-CFB40C6273FA}" dateTime="2018-01-16T14:19:34" maxSheetId="3" userName="Daniela Ionela Cirlig" r:id="rId422">
    <sheetIdMap count="2">
      <sheetId val="1"/>
      <sheetId val="2"/>
    </sheetIdMap>
  </header>
  <header guid="{86DDCFE9-DA33-48AC-BCC0-BBD0E8C8F99C}" dateTime="2018-01-16T14:56:50" maxSheetId="3" userName="Daniela Ionela Cirlig" r:id="rId423" minRId="3075" maxRId="3083">
    <sheetIdMap count="2">
      <sheetId val="1"/>
      <sheetId val="2"/>
    </sheetIdMap>
  </header>
  <header guid="{C55253A7-6BB0-496D-A62F-7D7C6BEEB69D}" dateTime="2018-01-16T15:08:19" maxSheetId="3" userName="Daniela Ionela Cirlig" r:id="rId424" minRId="3084" maxRId="3133">
    <sheetIdMap count="2">
      <sheetId val="1"/>
      <sheetId val="2"/>
    </sheetIdMap>
  </header>
  <header guid="{3BF2F09D-10FC-422B-800B-0EBA68F1FC84}" dateTime="2018-01-16T15:11:17" maxSheetId="3" userName="Daniela Ionela Cirlig" r:id="rId425">
    <sheetIdMap count="2">
      <sheetId val="1"/>
      <sheetId val="2"/>
    </sheetIdMap>
  </header>
  <header guid="{032D5D10-FE27-49E0-9B30-A32845CC68F0}" dateTime="2018-01-16T16:52:32" maxSheetId="3" userName="Daniela Ionela Cirlig" r:id="rId426" minRId="3136">
    <sheetIdMap count="2">
      <sheetId val="1"/>
      <sheetId val="2"/>
    </sheetIdMap>
  </header>
  <header guid="{1DC2421C-37D8-4871-BBD1-82B1EC364805}" dateTime="2018-01-16T16:53:15" maxSheetId="3" userName="Daniela Ionela Cirlig" r:id="rId427">
    <sheetIdMap count="2">
      <sheetId val="1"/>
      <sheetId val="2"/>
    </sheetIdMap>
  </header>
  <header guid="{8DCF2470-039C-4FC2-BA73-7A835282908C}" dateTime="2018-01-17T13:09:37" maxSheetId="3" userName="Daniela Ionela Cirlig" r:id="rId428" minRId="3137">
    <sheetIdMap count="2">
      <sheetId val="1"/>
      <sheetId val="2"/>
    </sheetIdMap>
  </header>
  <header guid="{00DFAA43-56F0-4224-BA9F-2BB2A5C8AA12}" dateTime="2018-02-05T13:24:25" maxSheetId="3" userName="Daniela Ionela Cirlig" r:id="rId429" minRId="3138" maxRId="3253">
    <sheetIdMap count="2">
      <sheetId val="1"/>
      <sheetId val="2"/>
    </sheetIdMap>
  </header>
  <header guid="{4512587E-8018-4F1D-994B-77ABBF4C2EE0}" dateTime="2018-02-05T13:32:02" maxSheetId="3" userName="Daniela Ionela Cirlig" r:id="rId430" minRId="3254" maxRId="3266">
    <sheetIdMap count="2">
      <sheetId val="1"/>
      <sheetId val="2"/>
    </sheetIdMap>
  </header>
  <header guid="{362E4858-A4D2-4CEF-8027-2591104F683C}" dateTime="2018-02-05T13:34:51" maxSheetId="3" userName="Daniela Ionela Cirlig" r:id="rId431" minRId="3267" maxRId="3291">
    <sheetIdMap count="2">
      <sheetId val="1"/>
      <sheetId val="2"/>
    </sheetIdMap>
  </header>
  <header guid="{F372E5A4-BC0C-4728-B872-1179B5C90B65}" dateTime="2018-02-05T13:35:28" maxSheetId="3" userName="Daniela Ionela Cirlig" r:id="rId432">
    <sheetIdMap count="2">
      <sheetId val="1"/>
      <sheetId val="2"/>
    </sheetIdMap>
  </header>
  <header guid="{5144DFD0-3AB7-496B-92C9-497766921988}" dateTime="2018-02-06T09:08:04" maxSheetId="3" userName="Mirela Cosovan" r:id="rId433">
    <sheetIdMap count="2">
      <sheetId val="1"/>
      <sheetId val="2"/>
    </sheetIdMap>
  </header>
  <header guid="{BA061B6A-8B05-4788-BB81-88E58E2A9A39}" dateTime="2018-02-06T09:21:26" maxSheetId="3" userName="Mirela Cosovan" r:id="rId434" minRId="3294" maxRId="3297">
    <sheetIdMap count="2">
      <sheetId val="1"/>
      <sheetId val="2"/>
    </sheetIdMap>
  </header>
  <header guid="{69C591C6-2219-498F-BB33-093798420784}" dateTime="2018-02-06T09:22:13" maxSheetId="3" userName="Mirela Cosovan" r:id="rId435" minRId="3298" maxRId="3299">
    <sheetIdMap count="2">
      <sheetId val="1"/>
      <sheetId val="2"/>
    </sheetIdMap>
  </header>
  <header guid="{725D8E57-3BB0-475A-94E5-6EED3263FBB0}" dateTime="2018-02-06T09:25:24" maxSheetId="3" userName="Mirela Cosovan" r:id="rId436">
    <sheetIdMap count="2">
      <sheetId val="1"/>
      <sheetId val="2"/>
    </sheetIdMap>
  </header>
  <header guid="{B1BEEFA5-EFE4-4841-A59B-4AB95109A526}" dateTime="2018-02-06T14:09:18" maxSheetId="3" userName="Mirela Cosovan" r:id="rId437" minRId="3301">
    <sheetIdMap count="2">
      <sheetId val="1"/>
      <sheetId val="2"/>
    </sheetIdMap>
  </header>
  <header guid="{FB4BF131-C97A-48E9-B9BE-6DB2D07086B1}" dateTime="2018-02-06T14:13:37" maxSheetId="3" userName="Mirela Cosovan" r:id="rId438" minRId="3303" maxRId="3310">
    <sheetIdMap count="2">
      <sheetId val="1"/>
      <sheetId val="2"/>
    </sheetIdMap>
  </header>
  <header guid="{6F49173D-BFB5-40F1-8D63-0AAE24E75AD6}" dateTime="2018-02-06T14:37:13" maxSheetId="3" userName="Mirela Cosovan" r:id="rId439" minRId="3311" maxRId="3320">
    <sheetIdMap count="2">
      <sheetId val="1"/>
      <sheetId val="2"/>
    </sheetIdMap>
  </header>
  <header guid="{455EC90B-1F51-4271-BFD3-C714378ED338}" dateTime="2018-02-06T14:38:23" maxSheetId="3" userName="Mirela Cosovan" r:id="rId440" minRId="3321">
    <sheetIdMap count="2">
      <sheetId val="1"/>
      <sheetId val="2"/>
    </sheetIdMap>
  </header>
  <header guid="{40760B64-6945-4926-A4C3-D7A5D569D280}" dateTime="2018-02-07T13:51:55" maxSheetId="3" userName="Mirela Cosovan" r:id="rId441" minRId="3322" maxRId="3486">
    <sheetIdMap count="2">
      <sheetId val="1"/>
      <sheetId val="2"/>
    </sheetIdMap>
  </header>
  <header guid="{3CC338DE-EF05-4A77-AA67-BAB9A84B4292}" dateTime="2018-02-07T14:08:01" maxSheetId="3" userName="Mirela Cosovan" r:id="rId442" minRId="3488" maxRId="3494">
    <sheetIdMap count="2">
      <sheetId val="1"/>
      <sheetId val="2"/>
    </sheetIdMap>
  </header>
  <header guid="{323CB234-9BF4-48BF-8233-E965ABE5D3DC}" dateTime="2018-02-07T14:09:10" maxSheetId="3" userName="Mirela Cosovan" r:id="rId443">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38" sId="2">
    <oc r="C8" t="inlineStr">
      <is>
        <t>cut-off- date 15.01.2018</t>
      </is>
    </oc>
    <nc r="C8" t="inlineStr">
      <is>
        <t>cut-off- date 31.01.2018</t>
      </is>
    </nc>
  </rcc>
  <rcc rId="3139" sId="2" numFmtId="4">
    <oc r="AB14">
      <f>302403854.31+32091384.09+6930264.3+12181226.04+3810572.35+12684608.96+61695832.64</f>
    </oc>
    <nc r="AB14">
      <v>431797742.69</v>
    </nc>
  </rcc>
  <rcc rId="3140" sId="2" numFmtId="4">
    <oc r="AC14">
      <f>100801284.77+10697128.03+2310088.1+4060408.68+1270190.78+4228202.99+20565277.54</f>
    </oc>
    <nc r="AC14">
      <v>143932580.88999999</v>
    </nc>
  </rcc>
  <rcc rId="3141" sId="2" numFmtId="4">
    <oc r="AB15">
      <f>112094920.75+136300495.75</f>
    </oc>
    <nc r="AB15">
      <v>248395416.5</v>
    </nc>
  </rcc>
  <rcc rId="3142" sId="2" numFmtId="4">
    <oc r="AC15">
      <f>82798472.17</f>
    </oc>
    <nc r="AC15">
      <v>82798472.170000002</v>
    </nc>
  </rcc>
  <rcc rId="3143" sId="2" numFmtId="4">
    <oc r="AB17">
      <f>164114515.98+20224490.25+2843.32+18759520.84+8233+23011857.84+80136.23+23004686.81+1144199.26+36302097.51+1737086.48+1035339.94</f>
    </oc>
    <nc r="AB17">
      <v>289425007.45999998</v>
    </nc>
  </rcc>
  <rcc rId="3144" sId="2" numFmtId="4">
    <oc r="AC17">
      <f>75400532.47+7668228.94+12482098.92+579028.82+345113.31</f>
    </oc>
    <nc r="AC17">
      <v>96475002.459999993</v>
    </nc>
  </rcc>
  <rcc rId="3145" sId="2" numFmtId="4">
    <oc r="AB19">
      <f>3134891.88+20281199.12</f>
    </oc>
    <nc r="AB19">
      <v>23416091</v>
    </nc>
  </rcc>
  <rcc rId="3146" sId="2" numFmtId="4">
    <oc r="AC19">
      <f>7805363.66</f>
    </oc>
    <nc r="AC19">
      <v>7805363.6600000001</v>
    </nc>
  </rcc>
  <rcc rId="3147" sId="2" numFmtId="4">
    <oc r="AB20">
      <f>606980084.35+13587.41+153226746.65</f>
    </oc>
    <nc r="AB20">
      <v>760220418.40999997</v>
    </nc>
  </rcc>
  <rcc rId="3148" sId="2" numFmtId="4">
    <oc r="AC20">
      <f>202331223.92+51075582.22</f>
    </oc>
    <nc r="AC20">
      <v>253406806.13999999</v>
    </nc>
  </rcc>
  <rcc rId="3149" sId="2" numFmtId="4">
    <oc r="AB18">
      <f>52076721.5+4868532.5+5265168.88+498.91+804700.7+25523.86+42992980.77+10334.58+10631200.49+153929240.95+47547306.9+14168025.3+25877779.85</f>
    </oc>
    <nc r="AB18">
      <v>358198015.19</v>
    </nc>
  </rcc>
  <rcc rId="3150" sId="2" numFmtId="4">
    <oc r="AC18">
      <f>21013715.44+14334438.45+54853480.48+15849102.3+4722675.1+8625926.62</f>
    </oc>
    <nc r="AC18">
      <v>119399338.39</v>
    </nc>
  </rcc>
  <rcc rId="3151" sId="2" numFmtId="4">
    <oc r="AB22">
      <f>70265662.99+2360919.82+461897.79+1270605.59+63843.95</f>
    </oc>
    <nc r="AB22">
      <v>74422930.140000001</v>
    </nc>
  </rcc>
  <rcc rId="3152" sId="2" numFmtId="4">
    <oc r="AC22">
      <f>23421887.66+786973.27+153965.93+423535.2+21281.32</f>
    </oc>
    <nc r="AC22">
      <v>24807643.379999999</v>
    </nc>
  </rcc>
  <rcc rId="3153" sId="2" numFmtId="4">
    <oc r="AB23">
      <f>286780876.44+8873926.5+382865.18+52789361+7193166.65+1021066.32+3884487.21+35319418.4</f>
    </oc>
    <nc r="AB23">
      <v>396245167.69999993</v>
    </nc>
  </rcc>
  <rcc rId="3154" sId="2" numFmtId="4">
    <oc r="AC23">
      <f>95593625.48+3085597.22+17596453.66+2738077.66+1294829.07+11773139.46</f>
    </oc>
    <nc r="AC23">
      <v>132081722.54999998</v>
    </nc>
  </rcc>
  <rcc rId="3155" sId="2" numFmtId="4">
    <oc r="AB24">
      <f>83594534.5+14912295.9</f>
    </oc>
    <nc r="AB24">
      <v>98506830.400000006</v>
    </nc>
  </rcc>
  <rcc rId="3156" sId="2" numFmtId="4">
    <oc r="AC24">
      <f>32835610.13</f>
    </oc>
    <nc r="AC24">
      <v>32835610.129999999</v>
    </nc>
  </rcc>
  <rcc rId="3157" sId="2" numFmtId="4">
    <oc r="AB25">
      <f>3370.91+12254952.73</f>
    </oc>
    <nc r="AB25">
      <v>12258323.640000001</v>
    </nc>
  </rcc>
  <rcc rId="3158" sId="2" numFmtId="4">
    <oc r="AC25">
      <f>4086107.88</f>
    </oc>
    <nc r="AC25">
      <v>4086107.88</v>
    </nc>
  </rcc>
  <rcc rId="3159" sId="2" numFmtId="4">
    <oc r="AB29">
      <f>8541186.44+1230014.75+34632+130610.87</f>
    </oc>
    <nc r="AB29">
      <v>9936444.0599999987</v>
    </nc>
  </rcc>
  <rcc rId="3160" sId="2" numFmtId="4">
    <oc r="AC29">
      <f>2847062.13+410004.92+55080.96</f>
    </oc>
    <nc r="AC29">
      <v>3312148.01</v>
    </nc>
  </rcc>
  <rcc rId="3161" sId="2" numFmtId="4">
    <oc r="AB31">
      <f>17047967.82+749904.11+2054064.76+4300969.17</f>
    </oc>
    <nc r="AB31">
      <v>24152905.859999999</v>
    </nc>
  </rcc>
  <rcc rId="3162" sId="2" numFmtId="4">
    <oc r="AC31">
      <f>5682655.94+249968.03+684688.26+1433656.39</f>
    </oc>
    <nc r="AC31">
      <v>8050968.6200000001</v>
    </nc>
  </rcc>
  <rcc rId="3163" sId="2" numFmtId="4">
    <oc r="AB32">
      <f>29646934.57+6294.94+5589815.79+43956+104297.9</f>
    </oc>
    <nc r="AB32">
      <v>35391299.200000003</v>
    </nc>
  </rcc>
  <rcc rId="3164" sId="2" numFmtId="4">
    <oc r="AC32">
      <f>9882311.52+2098.31+1863271.93+14652+34765.97</f>
    </oc>
    <nc r="AC32">
      <v>11797099.73</v>
    </nc>
  </rcc>
  <rcc rId="3165" sId="2" numFmtId="4">
    <oc r="AB34">
      <f>20196330.07+2339129.27+1043727.05+2155270.83+2059248.83+2318105.42+1779373.59</f>
    </oc>
    <nc r="AB34">
      <v>31891185.059999999</v>
    </nc>
  </rcc>
  <rcc rId="3166" sId="2" numFmtId="4">
    <oc r="AC34">
      <f>6732109.96+779709.76+347909.01+718423.61+686416.28+772701.81+593124.53</f>
    </oc>
    <nc r="AC34">
      <v>10630394.959999999</v>
    </nc>
  </rcc>
  <rfmt sheetId="2" sqref="AB29:AC34" start="0" length="2147483647">
    <dxf>
      <font>
        <color rgb="FFFF0000"/>
      </font>
    </dxf>
  </rfmt>
  <rfmt sheetId="2" sqref="AB35:AC35" start="0" length="2147483647">
    <dxf>
      <font>
        <color rgb="FFFF0000"/>
      </font>
    </dxf>
  </rfmt>
  <rfmt sheetId="2" sqref="AB36:AC36" start="0" length="2147483647">
    <dxf>
      <font>
        <color rgb="FFFF0000"/>
      </font>
    </dxf>
  </rfmt>
  <rcc rId="3167" sId="2" numFmtId="4">
    <oc r="AB37">
      <f>7600028.39+7069029.01+1934279.05+1310241.12</f>
    </oc>
    <nc r="AB37">
      <v>17913577.57</v>
    </nc>
  </rcc>
  <rcc rId="3168" sId="2" numFmtId="4">
    <oc r="AC37">
      <f>4889685.8+644759.68+436747.04</f>
    </oc>
    <nc r="AC37">
      <v>5971192.5199999996</v>
    </nc>
  </rcc>
  <rcc rId="3169" sId="2" numFmtId="4">
    <oc r="AB38">
      <f>147262136.85+243103768.59+75311181.9</f>
    </oc>
    <nc r="AB38">
      <v>465677087.34000003</v>
    </nc>
  </rcc>
  <rcc rId="3170" sId="2" numFmtId="4">
    <oc r="AC38">
      <f>130121968.48+25103727.3</f>
    </oc>
    <nc r="AC38">
      <v>155225695.78</v>
    </nc>
  </rcc>
  <rcc rId="3171" sId="2" numFmtId="4">
    <oc r="AB50">
      <f>1288517.96+4053904.68+1950005.9+187010.91+3099830.78</f>
    </oc>
    <nc r="AB50">
      <v>10579270.23</v>
    </nc>
  </rcc>
  <rcc rId="3172" sId="2" numFmtId="4">
    <oc r="AC50">
      <f>1780807.54+650001.97+62336.97+1033276.92</f>
    </oc>
    <nc r="AC50">
      <v>3526423.4</v>
    </nc>
  </rcc>
  <rcc rId="3173" sId="2" numFmtId="4">
    <oc r="AB51">
      <f>210568.21+5862810.46+300760.94+4412.63</f>
    </oc>
    <nc r="AB51">
      <v>6378552.2400000002</v>
    </nc>
  </rcc>
  <rcc rId="3174" sId="2" numFmtId="4">
    <oc r="AC51">
      <f>2024459.56+100253.64+1470.88</f>
    </oc>
    <nc r="AC51">
      <v>2126184.08</v>
    </nc>
  </rcc>
  <rcc rId="3175" sId="2" numFmtId="4">
    <oc r="AB52">
      <f>412137.64+4455466.87+478424.92+372685.86</f>
    </oc>
    <nc r="AB52">
      <v>5718715.29</v>
    </nc>
  </rcc>
  <rcc rId="3176" sId="2" numFmtId="4">
    <oc r="AC52">
      <f>1622534.83+159474.97+124228.62</f>
    </oc>
    <nc r="AC52">
      <v>1906238.42</v>
    </nc>
  </rcc>
  <rfmt sheetId="2" sqref="AB50:AC52" start="0" length="2147483647">
    <dxf>
      <font>
        <color rgb="FFFF0000"/>
      </font>
    </dxf>
  </rfmt>
  <rfmt sheetId="2" sqref="AB58:AC60" start="0" length="2147483647">
    <dxf>
      <font>
        <color rgb="FFFF0000"/>
      </font>
    </dxf>
  </rfmt>
  <rfmt sheetId="2" sqref="AB62:AC62" start="0" length="2147483647">
    <dxf>
      <font>
        <color rgb="FFFF0000"/>
      </font>
    </dxf>
  </rfmt>
  <rcc rId="3177" sId="2" numFmtId="4">
    <oc r="AB63">
      <v>62849506.580000006</v>
    </oc>
    <nc r="AB63">
      <v>65918095.280000009</v>
    </nc>
  </rcc>
  <rcc rId="3178" sId="2" numFmtId="4">
    <oc r="AC63">
      <v>9612277.4900000002</v>
    </oc>
    <nc r="AC63">
      <v>10081591.060000001</v>
    </nc>
  </rcc>
  <rfmt sheetId="2" sqref="AB63:AC63" start="0" length="2147483647">
    <dxf>
      <font>
        <color rgb="FFFF0000"/>
      </font>
    </dxf>
  </rfmt>
  <rcc rId="3179" sId="2" numFmtId="4">
    <oc r="AB66">
      <v>0</v>
    </oc>
    <nc r="AB66">
      <v>6283035.21</v>
    </nc>
  </rcc>
  <rcc rId="3180" sId="2" numFmtId="4">
    <oc r="AC66">
      <v>0</v>
    </oc>
    <nc r="AC66">
      <v>960934.8</v>
    </nc>
  </rcc>
  <rfmt sheetId="2" sqref="AB64:AC66" start="0" length="2147483647">
    <dxf>
      <font>
        <color rgb="FFFF0000"/>
      </font>
    </dxf>
  </rfmt>
  <rfmt sheetId="2" sqref="AB67:AC67" start="0" length="2147483647">
    <dxf>
      <font>
        <color rgb="FFFF0000"/>
      </font>
    </dxf>
  </rfmt>
  <rcc rId="3181" sId="2" numFmtId="4">
    <oc r="AB71">
      <v>10065348.939999999</v>
    </oc>
    <nc r="AB71">
      <v>14692452.489999998</v>
    </nc>
  </rcc>
  <rcc rId="3182" sId="2" numFmtId="4">
    <oc r="AC71">
      <v>1539406.31</v>
    </oc>
    <nc r="AC71">
      <v>2247080.9700000002</v>
    </nc>
  </rcc>
  <rfmt sheetId="2" sqref="AB71:AC71" start="0" length="2147483647">
    <dxf>
      <font>
        <color rgb="FFFF0000"/>
      </font>
    </dxf>
  </rfmt>
  <rfmt sheetId="2" sqref="AB76:AC79" start="0" length="2147483647">
    <dxf>
      <font>
        <color rgb="FFFF0000"/>
      </font>
    </dxf>
  </rfmt>
  <rcc rId="3183" sId="2" numFmtId="4">
    <oc r="AB85">
      <v>49160683.700000003</v>
    </oc>
    <nc r="AB85">
      <v>49237327.940000005</v>
    </nc>
  </rcc>
  <rcc rId="3184" sId="2" numFmtId="4">
    <oc r="AC85">
      <v>7518692.8000000007</v>
    </oc>
    <nc r="AC85">
      <v>7530414.8600000003</v>
    </nc>
  </rcc>
  <rfmt sheetId="2" sqref="AB85:AC85" start="0" length="2147483647">
    <dxf>
      <font>
        <color rgb="FFFF0000"/>
      </font>
    </dxf>
  </rfmt>
  <rcc rId="3185" sId="2" numFmtId="4">
    <oc r="AB88">
      <v>12857465.49</v>
    </oc>
    <nc r="AB88">
      <v>15377388.789999999</v>
    </nc>
  </rcc>
  <rcc rId="3186" sId="2" numFmtId="4">
    <oc r="AC88">
      <v>1966435.9</v>
    </oc>
    <nc r="AC88">
      <v>2351835.94</v>
    </nc>
  </rcc>
  <rfmt sheetId="2" sqref="AB86:AC88" start="0" length="2147483647">
    <dxf>
      <font>
        <color rgb="FFFF0000"/>
      </font>
    </dxf>
  </rfmt>
  <rcc rId="3187" sId="2" numFmtId="4">
    <oc r="AB90">
      <v>3758717.48</v>
    </oc>
    <nc r="AB90">
      <v>4727691.16</v>
    </nc>
  </rcc>
  <rcc rId="3188" sId="2" numFmtId="4">
    <oc r="AC90">
      <v>574862.68000000005</v>
    </oc>
    <nc r="AC90">
      <v>723058.65</v>
    </nc>
  </rcc>
  <rcc rId="3189" sId="2" numFmtId="4">
    <oc r="AB91">
      <v>5807789.9100000001</v>
    </oc>
    <nc r="AB91">
      <v>6271622.7800000003</v>
    </nc>
  </rcc>
  <rcc rId="3190" sId="2" numFmtId="4">
    <oc r="AC91">
      <v>888250.24</v>
    </oc>
    <nc r="AC91">
      <v>959189.39</v>
    </nc>
  </rcc>
  <rfmt sheetId="2" sqref="AB90:AC91" start="0" length="2147483647">
    <dxf>
      <font>
        <color rgb="FFFF0000"/>
      </font>
    </dxf>
  </rfmt>
  <rcc rId="3191" sId="2" numFmtId="4">
    <oc r="AB95">
      <v>16735550.939999999</v>
    </oc>
    <nc r="AB95">
      <v>23798332.100000001</v>
    </nc>
  </rcc>
  <rcc rId="3192" sId="2" numFmtId="4">
    <oc r="AC95">
      <v>2559554.8400000003</v>
    </oc>
    <nc r="AC95">
      <v>3639744.9000000004</v>
    </nc>
  </rcc>
  <rfmt sheetId="2" sqref="AB95:AC96" start="0" length="2147483647">
    <dxf>
      <font>
        <color rgb="FFFF0000"/>
      </font>
    </dxf>
  </rfmt>
  <rcc rId="3193" sId="2" numFmtId="4">
    <oc r="AB104">
      <v>0</v>
    </oc>
    <nc r="AB104">
      <v>5077718.8499999996</v>
    </nc>
  </rcc>
  <rcc rId="3194" sId="2" numFmtId="4">
    <oc r="AC104">
      <v>0</v>
    </oc>
    <nc r="AC104">
      <v>776592.3</v>
    </nc>
  </rcc>
  <rfmt sheetId="2" sqref="AB104:AC104" start="0" length="2147483647">
    <dxf>
      <font>
        <color rgb="FFFF0000"/>
      </font>
    </dxf>
  </rfmt>
  <rcc rId="3195" sId="2" numFmtId="4">
    <oc r="AB111">
      <v>0</v>
    </oc>
    <nc r="AB111">
      <v>386206.33</v>
    </nc>
  </rcc>
  <rcc rId="3196" sId="2" numFmtId="4">
    <oc r="AC111">
      <v>0</v>
    </oc>
    <nc r="AC111">
      <v>59066.85</v>
    </nc>
  </rcc>
  <rfmt sheetId="2" sqref="AB111:AC111" start="0" length="2147483647">
    <dxf>
      <font>
        <color rgb="FFFF0000"/>
      </font>
    </dxf>
  </rfmt>
  <rcc rId="3197" sId="2" numFmtId="4">
    <oc r="AB118">
      <v>0</v>
    </oc>
    <nc r="AB118">
      <v>1037231.25</v>
    </nc>
  </rcc>
  <rcc rId="3198" sId="2" numFmtId="4">
    <oc r="AC118">
      <v>0</v>
    </oc>
    <nc r="AC118">
      <v>170838.09</v>
    </nc>
  </rcc>
  <rfmt sheetId="2" sqref="AB118:AC118" start="0" length="2147483647">
    <dxf>
      <font>
        <color rgb="FFFF0000"/>
      </font>
    </dxf>
  </rfmt>
  <rcc rId="3199" sId="2" numFmtId="4">
    <oc r="AB129">
      <f>362193.5</f>
    </oc>
    <nc r="AB129">
      <v>476858.5</v>
    </nc>
  </rcc>
  <rcc rId="3200" sId="2" numFmtId="4">
    <oc r="AC129">
      <f>55394.3</f>
    </oc>
    <nc r="AC129">
      <v>72931.3</v>
    </nc>
  </rcc>
  <rfmt sheetId="2" sqref="AB129:AC129" start="0" length="2147483647">
    <dxf>
      <font>
        <color rgb="FFFF0000"/>
      </font>
    </dxf>
  </rfmt>
  <rcc rId="3201" sId="2" numFmtId="4">
    <oc r="AB136">
      <v>713991.43</v>
    </oc>
    <nc r="AB136">
      <v>2005710.4900000002</v>
    </nc>
  </rcc>
  <rcc rId="3202" sId="2" numFmtId="4">
    <oc r="AC136">
      <v>117598.59</v>
    </oc>
    <nc r="AC136">
      <v>330352.32</v>
    </nc>
  </rcc>
  <rfmt sheetId="2" sqref="AB136:AC136" start="0" length="2147483647">
    <dxf>
      <font>
        <color rgb="FFFF0000"/>
      </font>
    </dxf>
  </rfmt>
  <rcc rId="3203" sId="2" numFmtId="4">
    <oc r="AB125">
      <v>0</v>
    </oc>
    <nc r="AB125">
      <v>1081630.7</v>
    </nc>
  </rcc>
  <rcc rId="3204" sId="2" numFmtId="4">
    <oc r="AC125">
      <v>0</v>
    </oc>
    <nc r="AC125">
      <v>178150.94</v>
    </nc>
  </rcc>
  <rcc rId="3205" sId="2" numFmtId="4">
    <oc r="AB145">
      <v>308026.90999999997</v>
    </oc>
    <nc r="AB145">
      <v>310909.69</v>
    </nc>
  </rcc>
  <rcc rId="3206" sId="2" numFmtId="4">
    <oc r="AC145">
      <v>54357.7</v>
    </oc>
    <nc r="AC145">
      <v>54866.42</v>
    </nc>
  </rcc>
  <rcc rId="3207" sId="2" numFmtId="4">
    <oc r="AB148">
      <v>622780.72000000009</v>
    </oc>
    <nc r="AB148">
      <v>625255.04</v>
    </nc>
  </rcc>
  <rcc rId="3208" sId="2" numFmtId="4">
    <oc r="AC148">
      <v>109902.47000000002</v>
    </oc>
    <nc r="AC148">
      <v>110339.11000000002</v>
    </nc>
  </rcc>
  <rfmt sheetId="2" sqref="AB145:AC148" start="0" length="2147483647">
    <dxf>
      <font>
        <color rgb="FFFF0000"/>
      </font>
    </dxf>
  </rfmt>
  <rcc rId="3209" sId="2" numFmtId="4">
    <oc r="AB149">
      <v>455562.32000000007</v>
    </oc>
    <nc r="AB149">
      <v>458660.31000000006</v>
    </nc>
  </rcc>
  <rcc rId="3210" sId="2" numFmtId="4">
    <oc r="AC149">
      <v>80393.359999999986</v>
    </oc>
    <nc r="AC149">
      <v>80940.059999999983</v>
    </nc>
  </rcc>
  <rfmt sheetId="2" sqref="AB149:AC149" start="0" length="2147483647">
    <dxf>
      <font>
        <color rgb="FFFF0000"/>
      </font>
    </dxf>
  </rfmt>
  <rcc rId="3211" sId="2" numFmtId="4">
    <oc r="AB152">
      <v>153635.79999999999</v>
    </oc>
    <nc r="AB152">
      <v>163143.9</v>
    </nc>
  </rcc>
  <rcc rId="3212" sId="2" numFmtId="4">
    <oc r="AC152">
      <v>27112.2</v>
    </oc>
    <nc r="AC152">
      <v>28790.100000000002</v>
    </nc>
  </rcc>
  <rfmt sheetId="2" sqref="AB152:AC152" start="0" length="2147483647">
    <dxf>
      <font>
        <color rgb="FFFF0000"/>
      </font>
    </dxf>
  </rfmt>
  <rcc rId="3213" sId="2" numFmtId="4">
    <oc r="AB151">
      <v>159920.28</v>
    </oc>
    <nc r="AB151">
      <v>171448.05</v>
    </nc>
  </rcc>
  <rcc rId="3214" sId="2" numFmtId="4">
    <oc r="AC151">
      <v>28221.22</v>
    </oc>
    <nc r="AC151">
      <v>30255.530000000002</v>
    </nc>
  </rcc>
  <rfmt sheetId="2" sqref="AB151:AC151" start="0" length="2147483647">
    <dxf>
      <font>
        <color rgb="FFFF0000"/>
      </font>
    </dxf>
  </rfmt>
  <rfmt sheetId="2" sqref="AB150:AC150" start="0" length="2147483647">
    <dxf>
      <font>
        <color rgb="FFFF0000"/>
      </font>
    </dxf>
  </rfmt>
  <rcc rId="3215" sId="2" numFmtId="4">
    <oc r="AB153">
      <v>274222.99</v>
    </oc>
    <nc r="AB153">
      <v>278253.65999999997</v>
    </nc>
  </rcc>
  <rcc rId="3216" sId="2" numFmtId="4">
    <oc r="AC153">
      <v>48392.29</v>
    </oc>
    <nc r="AC153">
      <v>49103.590000000004</v>
    </nc>
  </rcc>
  <rcc rId="3217" sId="2" numFmtId="4">
    <oc r="AB155">
      <v>515213.94000000006</v>
    </oc>
    <nc r="AB155">
      <v>519361.09000000008</v>
    </nc>
  </rcc>
  <rcc rId="3218" sId="2" numFmtId="4">
    <oc r="AC155">
      <v>90920.12</v>
    </oc>
    <nc r="AC155">
      <v>91651.97</v>
    </nc>
  </rcc>
  <rfmt sheetId="2" sqref="AB153:AC155" start="0" length="2147483647">
    <dxf>
      <font>
        <color rgb="FFFF0000"/>
      </font>
    </dxf>
  </rfmt>
  <rcc rId="3219" sId="2" numFmtId="4">
    <oc r="AB156">
      <v>64968.05</v>
    </oc>
    <nc r="AB156">
      <v>75681.45</v>
    </nc>
  </rcc>
  <rcc rId="3220" sId="2" numFmtId="4">
    <oc r="AC156">
      <v>11464.95</v>
    </oc>
    <nc r="AC156">
      <v>13355.550000000001</v>
    </nc>
  </rcc>
  <rcc rId="3221" sId="2" numFmtId="4">
    <oc r="AB157">
      <v>740175.21</v>
    </oc>
    <nc r="AB157">
      <v>1146678.3599999999</v>
    </nc>
  </rcc>
  <rcc rId="3222" sId="2" numFmtId="4">
    <oc r="AC157">
      <v>130619.15999999999</v>
    </oc>
    <nc r="AC157">
      <v>202355.01</v>
    </nc>
  </rcc>
  <rcc rId="3223" sId="2" numFmtId="4">
    <oc r="AB158">
      <v>265411.98</v>
    </oc>
    <nc r="AB158">
      <v>271531.98</v>
    </nc>
  </rcc>
  <rcc rId="3224" sId="2" numFmtId="4">
    <oc r="AC158">
      <v>46837.409999999996</v>
    </oc>
    <nc r="AC158">
      <v>47917.409999999996</v>
    </nc>
  </rcc>
  <rfmt sheetId="2" sqref="AB156:AC159" start="0" length="2147483647">
    <dxf>
      <font>
        <color rgb="FFFF0000"/>
      </font>
    </dxf>
  </rfmt>
  <rcc rId="3225" sId="2" numFmtId="4">
    <oc r="AB160">
      <v>19992</v>
    </oc>
    <nc r="AB160">
      <v>58637.25</v>
    </nc>
  </rcc>
  <rcc rId="3226" sId="2" numFmtId="4">
    <oc r="AC160">
      <v>3528</v>
    </oc>
    <nc r="AC160">
      <v>10347.75</v>
    </nc>
  </rcc>
  <rcc rId="3227" sId="2" numFmtId="4">
    <oc r="AB163">
      <v>0</v>
    </oc>
    <nc r="AB163">
      <v>155090.29999999999</v>
    </nc>
  </rcc>
  <rcc rId="3228" sId="2" numFmtId="4">
    <oc r="AC163">
      <v>0</v>
    </oc>
    <nc r="AC163">
      <v>27368.879999999997</v>
    </nc>
  </rcc>
  <rfmt sheetId="2" sqref="AB160:AC163" start="0" length="2147483647">
    <dxf>
      <font>
        <color rgb="FFFF0000"/>
      </font>
    </dxf>
  </rfmt>
  <rcc rId="3229" sId="2" numFmtId="4">
    <oc r="AB164">
      <v>43736.82</v>
    </oc>
    <nc r="AB164">
      <v>243907.15000000002</v>
    </nc>
  </rcc>
  <rcc rId="3230" sId="2" numFmtId="4">
    <oc r="AC164">
      <v>7718.27</v>
    </oc>
    <nc r="AC164">
      <v>43042.439999999995</v>
    </nc>
  </rcc>
  <rcc rId="3231" sId="2" numFmtId="4">
    <oc r="AB165">
      <v>265005.34999999998</v>
    </oc>
    <nc r="AB165">
      <v>305663.20999999996</v>
    </nc>
  </rcc>
  <rcc rId="3232" sId="2" numFmtId="4">
    <oc r="AC165">
      <v>46765.65</v>
    </oc>
    <nc r="AC165">
      <v>53940.57</v>
    </nc>
  </rcc>
  <rfmt sheetId="2" sqref="AB164:AC165" start="0" length="2147483647">
    <dxf>
      <font>
        <color rgb="FFFF0000"/>
      </font>
    </dxf>
  </rfmt>
  <rcc rId="3233" sId="2" numFmtId="4">
    <oc r="AB167">
      <v>334675.39999999997</v>
    </oc>
    <nc r="AB167">
      <v>339728.85</v>
    </nc>
  </rcc>
  <rcc rId="3234" sId="2" numFmtId="4">
    <oc r="AC167">
      <v>59060.37000000001</v>
    </oc>
    <nc r="AC167">
      <v>59952.160000000011</v>
    </nc>
  </rcc>
  <rfmt sheetId="2" sqref="AB167:AC167" start="0" length="2147483647">
    <dxf>
      <font>
        <color rgb="FFFF0000"/>
      </font>
    </dxf>
  </rfmt>
  <rcc rId="3235" sId="2" numFmtId="4">
    <oc r="AB170">
      <f>39527.55</f>
    </oc>
    <nc r="AB170">
      <v>60523.26</v>
    </nc>
  </rcc>
  <rcc rId="3236" sId="2" numFmtId="4">
    <oc r="AC170">
      <f>6975.45</f>
    </oc>
    <nc r="AC170">
      <v>10680.57</v>
    </nc>
  </rcc>
  <rfmt sheetId="2" sqref="AB170:AC170" start="0" length="2147483647">
    <dxf>
      <font>
        <color rgb="FFFF0000"/>
      </font>
    </dxf>
  </rfmt>
  <rcc rId="3237" sId="2" numFmtId="4">
    <oc r="AB171">
      <f>59094.11+156140.75</f>
    </oc>
    <nc r="AB171">
      <v>514168.67</v>
    </nc>
  </rcc>
  <rcc rId="3238" sId="2" numFmtId="4">
    <oc r="AC171">
      <f>10428.37+27554.25</f>
    </oc>
    <nc r="AC171">
      <v>90735.65</v>
    </nc>
  </rcc>
  <rfmt sheetId="2" sqref="AB171:AC171" start="0" length="2147483647">
    <dxf>
      <font>
        <color rgb="FFFF0000"/>
      </font>
    </dxf>
  </rfmt>
  <rcc rId="3239" sId="2" numFmtId="4">
    <oc r="AB173">
      <v>17680.849999999999</v>
    </oc>
    <nc r="AB173">
      <v>49226.9</v>
    </nc>
  </rcc>
  <rcc rId="3240" sId="2" numFmtId="4">
    <oc r="AC173">
      <v>3120.1499999999996</v>
    </oc>
    <nc r="AC173">
      <v>8687.1</v>
    </nc>
  </rcc>
  <rfmt sheetId="2" sqref="AB173:AC173" start="0" length="2147483647">
    <dxf>
      <font>
        <color rgb="FFFF0000"/>
      </font>
    </dxf>
  </rfmt>
  <rcc rId="3241" sId="2" numFmtId="4">
    <oc r="AB174">
      <v>50122.8</v>
    </oc>
    <nc r="AB174">
      <v>144950.93</v>
    </nc>
  </rcc>
  <rcc rId="3242" sId="2" numFmtId="4">
    <oc r="AC174">
      <v>8845.2000000000007</v>
    </oc>
    <nc r="AC174">
      <v>25579.57</v>
    </nc>
  </rcc>
  <rfmt sheetId="2" sqref="AB174:AC174" start="0" length="2147483647">
    <dxf>
      <font>
        <color rgb="FFFF0000"/>
      </font>
    </dxf>
  </rfmt>
  <rcc rId="3243" sId="2" numFmtId="4">
    <oc r="AB169">
      <v>0</v>
    </oc>
    <nc r="AB169">
      <v>180350.62</v>
    </nc>
  </rcc>
  <rcc rId="3244" sId="2" numFmtId="4">
    <oc r="AC169">
      <v>0</v>
    </oc>
    <nc r="AC169">
      <v>31826.58</v>
    </nc>
  </rcc>
  <rcc rId="3245" sId="2" numFmtId="4">
    <oc r="AB166">
      <v>52011.5</v>
    </oc>
    <nc r="AB166">
      <v>56602.35</v>
    </nc>
  </rcc>
  <rcc rId="3246" sId="2" numFmtId="4">
    <oc r="AC166">
      <v>9178.5</v>
    </oc>
    <nc r="AC166">
      <v>9988.65</v>
    </nc>
  </rcc>
  <rcc rId="3247" sId="2" numFmtId="4">
    <oc r="AB200">
      <v>3994450.23</v>
    </oc>
    <nc r="AB200">
      <v>6150810.0199999996</v>
    </nc>
  </rcc>
  <rcc rId="3248" sId="2" numFmtId="4">
    <oc r="AC200">
      <v>610915.91999999993</v>
    </oc>
    <nc r="AC200">
      <v>940712.11999999988</v>
    </nc>
  </rcc>
  <rcc rId="3249" sId="2">
    <nc r="AB205">
      <f>+'E:\Users\daniela.cirlig\Desktop\Raportare la 31.01.2018\colegii\Mihaela DAMIAN\[Anexa 3 - Lista contractelor semnate_ 31.01.2018.xlsx]Contracte semnate'!$Q$179-AB203</f>
    </nc>
  </rcc>
  <rcc rId="3250" sId="2" odxf="1" dxf="1">
    <nc r="AC205">
      <f>+'E:\Users\daniela.cirlig\Desktop\Raportare la 31.01.2018\colegii\Mihaela DAMIAN\[Anexa 3 - Lista contractelor semnate_ 31.01.2018.xlsx]Contracte semnate'!$Q$179-AC203</f>
    </nc>
    <odxf>
      <font>
        <b val="0"/>
        <sz val="10"/>
      </font>
    </odxf>
    <ndxf>
      <font>
        <b/>
        <sz val="10"/>
        <color auto="1"/>
      </font>
    </ndxf>
  </rcc>
  <rcc rId="3251" sId="2" numFmtId="34">
    <nc r="AB209">
      <v>4567810274.9300003</v>
    </nc>
  </rcc>
  <rfmt sheetId="2" sqref="AB209:AC209">
    <dxf>
      <numFmt numFmtId="35" formatCode="_-* #,##0.00\ _l_e_i_-;\-* #,##0.00\ _l_e_i_-;_-* &quot;-&quot;??\ _l_e_i_-;_-@_-"/>
    </dxf>
  </rfmt>
  <rfmt sheetId="2" sqref="AB209:AC209" start="0" length="2147483647">
    <dxf>
      <font>
        <b val="0"/>
      </font>
    </dxf>
  </rfmt>
  <rcc rId="3252" sId="2">
    <oc r="AB203">
      <f>+AB27+AB56+AB143+AB182+AB190+AB202</f>
    </oc>
    <nc r="AB203">
      <f>AB27+AB56+AB143+AB182+AB198+AB202</f>
    </nc>
  </rcc>
  <rcc rId="3253" sId="2">
    <oc r="AC203">
      <f>+AC27+AC56+AC143+AC182+AC190+AC202+AC199+AC200</f>
    </oc>
    <nc r="AC203">
      <f>AC27+AC56+AC143+AC182+AC198+AC202</f>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03" sId="2">
    <oc r="D9" t="inlineStr">
      <is>
        <t>Titlu proiect</t>
      </is>
    </oc>
    <nc r="D9" t="inlineStr">
      <is>
        <t>Project title</t>
      </is>
    </nc>
  </rcc>
  <rcc rId="3304" sId="2">
    <oc r="F9" t="inlineStr">
      <is>
        <t>Nume beneficiar</t>
      </is>
    </oc>
    <nc r="F9" t="inlineStr">
      <is>
        <t>Beneficiary name</t>
      </is>
    </nc>
  </rcc>
  <rcc rId="3305" sId="2">
    <oc r="G9" t="inlineStr">
      <is>
        <t>Rezumat proiect</t>
      </is>
    </oc>
    <nc r="G9" t="inlineStr">
      <is>
        <t>Project Summary</t>
      </is>
    </nc>
  </rcc>
  <rcc rId="3306" sId="2">
    <oc r="H9" t="inlineStr">
      <is>
        <t>Data de începere a proiectului</t>
      </is>
    </oc>
    <nc r="H9" t="inlineStr">
      <is>
        <t>Start date of the project</t>
      </is>
    </nc>
  </rcc>
  <rcc rId="3307" sId="2">
    <oc r="I9" t="inlineStr">
      <is>
        <t>Data de finalizare a proiectului</t>
      </is>
    </oc>
    <nc r="I9" t="inlineStr">
      <is>
        <t>End date of the project</t>
      </is>
    </nc>
  </rcc>
  <rcc rId="3308" sId="2">
    <oc r="J9" t="inlineStr">
      <is>
        <t>Rata de cofinanțare UE</t>
      </is>
    </oc>
    <nc r="J9" t="inlineStr">
      <is>
        <t>EU co-financing rate</t>
      </is>
    </nc>
  </rcc>
  <rcc rId="3309" sId="2">
    <oc r="K9" t="inlineStr">
      <is>
        <t xml:space="preserve">Regiune </t>
      </is>
    </oc>
    <nc r="K9" t="inlineStr">
      <is>
        <t>Region</t>
      </is>
    </nc>
  </rcc>
  <rcc rId="3310" sId="2">
    <oc r="L9" t="inlineStr">
      <is>
        <t>Județ</t>
      </is>
    </oc>
    <nc r="L9" t="inlineStr">
      <is>
        <t>County</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11" sId="2">
    <oc r="M9" t="inlineStr">
      <is>
        <t>Localitate</t>
      </is>
    </oc>
    <nc r="M9" t="inlineStr">
      <is>
        <t>locality</t>
      </is>
    </nc>
  </rcc>
  <rcc rId="3312" sId="2">
    <oc r="N9" t="inlineStr">
      <is>
        <t>Tip beneficiar</t>
      </is>
    </oc>
    <nc r="N9" t="inlineStr">
      <is>
        <t>Beneficiary type</t>
      </is>
    </nc>
  </rcc>
  <rcc rId="3313" sId="2">
    <oc r="O9" t="inlineStr">
      <is>
        <t>Categorie de intervenție</t>
      </is>
    </oc>
    <nc r="O9" t="inlineStr">
      <is>
        <t>Category of intervention</t>
      </is>
    </nc>
  </rcc>
  <rcc rId="3314" sId="2">
    <oc r="P9" t="inlineStr">
      <is>
        <t xml:space="preserve">Valoare totala eligibila </t>
      </is>
    </oc>
    <nc r="P9" t="inlineStr">
      <is>
        <t xml:space="preserve">Total Eligible Value </t>
      </is>
    </nc>
  </rcc>
  <rcc rId="3315" sId="2">
    <oc r="Q9" t="inlineStr">
      <is>
        <t>Valoarea eligibilă a proiectului (lei)</t>
      </is>
    </oc>
    <nc r="Q9" t="inlineStr">
      <is>
        <t>Eligible project value (ROL)</t>
      </is>
    </nc>
  </rcc>
  <rcc rId="3316" sId="2">
    <oc r="Q10" t="inlineStr">
      <is>
        <t xml:space="preserve">Finantare acordata </t>
      </is>
    </oc>
    <nc r="Q10" t="inlineStr">
      <is>
        <t>Granted funding</t>
      </is>
    </nc>
  </rcc>
  <rcc rId="3317" sId="2">
    <oc r="Q11" t="inlineStr">
      <is>
        <t>Fonduri UE</t>
      </is>
    </oc>
    <nc r="Q11" t="inlineStr">
      <is>
        <t>EU Funds</t>
      </is>
    </nc>
  </rcc>
  <rcc rId="3318" sId="2">
    <oc r="R11" t="inlineStr">
      <is>
        <t>Contribuția națională</t>
      </is>
    </oc>
    <nc r="R11" t="inlineStr">
      <is>
        <t>Co-financing</t>
      </is>
    </nc>
  </rcc>
  <rcc rId="3319" sId="2">
    <oc r="S10" t="inlineStr">
      <is>
        <t>Contributia proprie a beneficiarului</t>
      </is>
    </oc>
    <nc r="S10" t="inlineStr">
      <is>
        <t>Contribution of the beneficiary</t>
      </is>
    </nc>
  </rcc>
  <rcc rId="3320" sId="2">
    <oc r="T10" t="inlineStr">
      <is>
        <t>Cheltuieli neeligibile</t>
      </is>
    </oc>
    <nc r="T10" t="inlineStr">
      <is>
        <t>Ineligible expenditure</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21" sId="2">
    <oc r="U9" t="inlineStr">
      <is>
        <t>Valoarea veniturilor nete generate (NFG)</t>
      </is>
    </oc>
    <nc r="U9" t="inlineStr">
      <is>
        <t>Net Generated Income (NFG)</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322" sId="2" ref="K1:K1048576" action="insertCol">
    <undo index="2" exp="area" ref3D="1" dr="$P$1:$P$1048576" dn="Z_83337B45_5054_4200_BF9E_4E1DC1896214_.wvu.Cols" sId="2"/>
    <undo index="2" exp="area" ref3D="1" dr="$P$1:$P$1048576" dn="Z_E1C13DC2_98C2_4597_8D1A_C9F2C3CA60EC_.wvu.Cols" sId="2"/>
    <undo index="2" exp="area" ref3D="1" dr="$P$1:$P$1048576" dn="Z_B8EFA5E8_2E8C_450C_9395_D582737418AA_.wvu.Cols" sId="2"/>
    <undo index="2" exp="area" ref3D="1" dr="$P$1:$P$1048576" dn="Z_79FA8BE5_7D13_4EF3_B35A_76ACF1C0DF3C_.wvu.Cols" sId="2"/>
    <undo index="2" exp="area" ref3D="1" dr="$P$1:$P$1048576" dn="Z_64D2264B_4E86_4FBB_93B3_BEE727888DFE_.wvu.Cols" sId="2"/>
    <undo index="2" exp="area" ref3D="1" dr="$P$1:$P$1048576" dn="Z_E10820C0_32CD_441A_8635_65479FE7CBA3_.wvu.Cols" sId="2"/>
    <undo index="2" exp="area" ref3D="1" dr="$P$1:$P$1048576" dn="Z_ECCC7D97_A0C3_4C50_BA03_A8D24BCD22BE_.wvu.Cols" sId="2"/>
    <undo index="2" exp="area" ref3D="1" dr="$P$1:$P$1048576" dn="Z_9E851A6A_17B1_4E6F_A007_493445D427B8_.wvu.Cols" sId="2"/>
    <undo index="2" exp="area" ref3D="1" dr="$P$1:$P$1048576" dn="Z_437FD6EF_32B2_4DE0_BA89_93A7E3EF04C5_.wvu.Cols" sId="2"/>
    <undo index="2" exp="area" ref3D="1" dr="$P$1:$P$1048576" dn="Z_DB90939E_72BD_4CED_BFB6_BD74FF913DB3_.wvu.Cols" sId="2"/>
    <undo index="2" exp="area" ref3D="1" dr="$P$1:$P$1048576" dn="Z_61C44EA8_4687_4D4E_A1ED_359DF81A71FB_.wvu.Cols" sId="2"/>
    <undo index="2" exp="area" ref3D="1" dr="$P$1:$P$1048576" dn="Z_E4462EA5_1112_4F42_BE37_A867D6FC853C_.wvu.Cols" sId="2"/>
    <undo index="2" exp="area" ref3D="1" dr="$P$1:$P$1048576" dn="Z_0F598BC0_9523_4AD3_94A3_BDEC8367FE11_.wvu.Cols" sId="2"/>
    <undo index="2" exp="area" ref3D="1" dr="$P$1:$P$1048576" dn="Z_413D6799_9F75_47FF_8A9E_5CB9283B7BBE_.wvu.Cols" sId="2"/>
    <undo index="2" exp="area" ref3D="1" dr="$P$1:$P$1048576" dn="Z_2234C728_15E1_4BAF_98DE_620726961552_.wvu.Cols" sId="2"/>
    <undo index="2" exp="area" ref3D="1" dr="$P$1:$P$1048576" dn="Z_216972B4_771A_4607_A8B4_AC73D5CD6C1A_.wvu.Cols" sId="2"/>
    <undo index="2" exp="area" ref3D="1" dr="$P$1:$P$1048576" dn="Z_3EBF2DB4_84D7_478D_9896_C4DA08B65D0C_.wvu.Cols" sId="2"/>
  </rrc>
  <rcc rId="3323" sId="2">
    <nc r="K10" t="inlineStr">
      <is>
        <t>Country</t>
      </is>
    </nc>
  </rcc>
  <rcc rId="3324" sId="2">
    <nc r="K13" t="inlineStr">
      <is>
        <t>Romania</t>
      </is>
    </nc>
  </rcc>
  <rcc rId="3325" sId="2">
    <nc r="K14" t="inlineStr">
      <is>
        <t>Romania</t>
      </is>
    </nc>
  </rcc>
  <rcc rId="3326" sId="2">
    <nc r="K15" t="inlineStr">
      <is>
        <t>Romania</t>
      </is>
    </nc>
  </rcc>
  <rcc rId="3327" sId="2">
    <nc r="K17" t="inlineStr">
      <is>
        <t>Romania</t>
      </is>
    </nc>
  </rcc>
  <rcc rId="3328" sId="2">
    <nc r="K18" t="inlineStr">
      <is>
        <t>Romania</t>
      </is>
    </nc>
  </rcc>
  <rcc rId="3329" sId="2">
    <nc r="K19" t="inlineStr">
      <is>
        <t>Romania</t>
      </is>
    </nc>
  </rcc>
  <rcc rId="3330" sId="2">
    <nc r="K20" t="inlineStr">
      <is>
        <t>Romania</t>
      </is>
    </nc>
  </rcc>
  <rcc rId="3331" sId="2" odxf="1" dxf="1">
    <nc r="K21" t="inlineStr">
      <is>
        <t>Romania</t>
      </is>
    </nc>
    <odxf>
      <font>
        <sz val="10"/>
        <color rgb="FF444444"/>
      </font>
      <numFmt numFmtId="0" formatCode="General"/>
      <fill>
        <patternFill patternType="solid">
          <bgColor theme="5" tint="0.39997558519241921"/>
        </patternFill>
      </fill>
      <border outline="0">
        <top style="thin">
          <color indexed="64"/>
        </top>
      </border>
    </odxf>
    <ndxf>
      <font>
        <sz val="10"/>
        <color auto="1"/>
      </font>
      <numFmt numFmtId="13" formatCode="0%"/>
      <fill>
        <patternFill patternType="none">
          <bgColor indexed="65"/>
        </patternFill>
      </fill>
      <border outline="0">
        <top/>
      </border>
    </ndxf>
  </rcc>
  <rcc rId="3332" sId="2">
    <nc r="K22" t="inlineStr">
      <is>
        <t>Romania</t>
      </is>
    </nc>
  </rcc>
  <rcc rId="3333" sId="2">
    <nc r="K23" t="inlineStr">
      <is>
        <t>Romania</t>
      </is>
    </nc>
  </rcc>
  <rcc rId="3334" sId="2">
    <nc r="K24" t="inlineStr">
      <is>
        <t>Romania</t>
      </is>
    </nc>
  </rcc>
  <rcc rId="3335" sId="2">
    <nc r="K25" t="inlineStr">
      <is>
        <t>Romania</t>
      </is>
    </nc>
  </rcc>
  <rcc rId="3336" sId="2">
    <nc r="K29" t="inlineStr">
      <is>
        <t>Romania</t>
      </is>
    </nc>
  </rcc>
  <rcc rId="3337" sId="2">
    <nc r="K30" t="inlineStr">
      <is>
        <t>Romania</t>
      </is>
    </nc>
  </rcc>
  <rcc rId="3338" sId="2">
    <nc r="K31" t="inlineStr">
      <is>
        <t>Romania</t>
      </is>
    </nc>
  </rcc>
  <rcc rId="3339" sId="2">
    <nc r="K32" t="inlineStr">
      <is>
        <t>Romania</t>
      </is>
    </nc>
  </rcc>
  <rcc rId="3340" sId="2">
    <nc r="K33" t="inlineStr">
      <is>
        <t>Romania</t>
      </is>
    </nc>
  </rcc>
  <rcc rId="3341" sId="2">
    <nc r="K34" t="inlineStr">
      <is>
        <t>Romania</t>
      </is>
    </nc>
  </rcc>
  <rcc rId="3342" sId="2">
    <nc r="K35" t="inlineStr">
      <is>
        <t>Romania</t>
      </is>
    </nc>
  </rcc>
  <rcc rId="3343" sId="2">
    <nc r="K36" t="inlineStr">
      <is>
        <t>Romania</t>
      </is>
    </nc>
  </rcc>
  <rcc rId="3344" sId="2">
    <nc r="K37" t="inlineStr">
      <is>
        <t>Romania</t>
      </is>
    </nc>
  </rcc>
  <rcc rId="3345" sId="2">
    <nc r="K38" t="inlineStr">
      <is>
        <t>Romania</t>
      </is>
    </nc>
  </rcc>
  <rcc rId="3346" sId="2">
    <nc r="K40" t="inlineStr">
      <is>
        <t>Romania</t>
      </is>
    </nc>
  </rcc>
  <rcc rId="3347" sId="2">
    <nc r="K41" t="inlineStr">
      <is>
        <t>Romania</t>
      </is>
    </nc>
  </rcc>
  <rcc rId="3348" sId="2">
    <nc r="K42" t="inlineStr">
      <is>
        <t>Romania</t>
      </is>
    </nc>
  </rcc>
  <rcc rId="3349" sId="2">
    <nc r="K44" t="inlineStr">
      <is>
        <t>Romania</t>
      </is>
    </nc>
  </rcc>
  <rcc rId="3350" sId="2">
    <nc r="K46" t="inlineStr">
      <is>
        <t>Romania</t>
      </is>
    </nc>
  </rcc>
  <rcc rId="3351" sId="2">
    <nc r="K47" t="inlineStr">
      <is>
        <t>Romania</t>
      </is>
    </nc>
  </rcc>
  <rcc rId="3352" sId="2" odxf="1" dxf="1">
    <nc r="K48" t="inlineStr">
      <is>
        <t>Romania</t>
      </is>
    </nc>
    <odxf>
      <border outline="0">
        <bottom/>
      </border>
    </odxf>
    <ndxf>
      <border outline="0">
        <bottom style="thin">
          <color indexed="64"/>
        </bottom>
      </border>
    </ndxf>
  </rcc>
  <rcc rId="3353" sId="2">
    <nc r="K50" t="inlineStr">
      <is>
        <t>Romania</t>
      </is>
    </nc>
  </rcc>
  <rcc rId="3354" sId="2">
    <nc r="K51" t="inlineStr">
      <is>
        <t>Romania</t>
      </is>
    </nc>
  </rcc>
  <rcc rId="3355" sId="2">
    <nc r="K52" t="inlineStr">
      <is>
        <t>Romania</t>
      </is>
    </nc>
  </rcc>
  <rcc rId="3356" sId="2">
    <nc r="K53" t="inlineStr">
      <is>
        <t>Romania</t>
      </is>
    </nc>
  </rcc>
  <rcc rId="3357" sId="2">
    <nc r="K54" t="inlineStr">
      <is>
        <t>Romania</t>
      </is>
    </nc>
  </rcc>
  <rcc rId="3358" sId="2">
    <nc r="K58" t="inlineStr">
      <is>
        <t>Romania</t>
      </is>
    </nc>
  </rcc>
  <rcc rId="3359" sId="2">
    <nc r="K59" t="inlineStr">
      <is>
        <t>Romania</t>
      </is>
    </nc>
  </rcc>
  <rcc rId="3360" sId="2">
    <nc r="K60" t="inlineStr">
      <is>
        <t>Romania</t>
      </is>
    </nc>
  </rcc>
  <rcc rId="3361" sId="2">
    <nc r="K61" t="inlineStr">
      <is>
        <t>Romania</t>
      </is>
    </nc>
  </rcc>
  <rcc rId="3362" sId="2">
    <nc r="K62" t="inlineStr">
      <is>
        <t>Romania</t>
      </is>
    </nc>
  </rcc>
  <rcc rId="3363" sId="2">
    <nc r="K63" t="inlineStr">
      <is>
        <t>Romania</t>
      </is>
    </nc>
  </rcc>
  <rcc rId="3364" sId="2">
    <nc r="K64" t="inlineStr">
      <is>
        <t>Romania</t>
      </is>
    </nc>
  </rcc>
  <rcc rId="3365" sId="2">
    <nc r="K65" t="inlineStr">
      <is>
        <t>Romania</t>
      </is>
    </nc>
  </rcc>
  <rcc rId="3366" sId="2">
    <nc r="K66" t="inlineStr">
      <is>
        <t>Romania</t>
      </is>
    </nc>
  </rcc>
  <rcc rId="3367" sId="2">
    <nc r="K67" t="inlineStr">
      <is>
        <t>Romania</t>
      </is>
    </nc>
  </rcc>
  <rcc rId="3368" sId="2">
    <nc r="K68" t="inlineStr">
      <is>
        <t>Romania</t>
      </is>
    </nc>
  </rcc>
  <rcc rId="3369" sId="2">
    <nc r="K69" t="inlineStr">
      <is>
        <t>Romania</t>
      </is>
    </nc>
  </rcc>
  <rcc rId="3370" sId="2">
    <nc r="K70" t="inlineStr">
      <is>
        <t>Romania</t>
      </is>
    </nc>
  </rcc>
  <rcc rId="3371" sId="2">
    <nc r="K71" t="inlineStr">
      <is>
        <t>Romania</t>
      </is>
    </nc>
  </rcc>
  <rcc rId="3372" sId="2">
    <nc r="K72" t="inlineStr">
      <is>
        <t>Romania</t>
      </is>
    </nc>
  </rcc>
  <rcc rId="3373" sId="2">
    <nc r="K73" t="inlineStr">
      <is>
        <t>Romania</t>
      </is>
    </nc>
  </rcc>
  <rcc rId="3374" sId="2">
    <nc r="K74" t="inlineStr">
      <is>
        <t>Romania</t>
      </is>
    </nc>
  </rcc>
  <rfmt sheetId="2" s="1" sqref="K75" start="0" length="0">
    <dxf>
      <font>
        <sz val="10"/>
        <color auto="1"/>
        <name val="Calibri"/>
        <scheme val="minor"/>
      </font>
      <numFmt numFmtId="13" formatCode="0%"/>
      <fill>
        <patternFill patternType="none">
          <bgColor indexed="65"/>
        </patternFill>
      </fill>
      <border outline="0">
        <top/>
      </border>
    </dxf>
  </rfmt>
  <rcc rId="3375" sId="2">
    <nc r="K76" t="inlineStr">
      <is>
        <t>Romania</t>
      </is>
    </nc>
  </rcc>
  <rcc rId="3376" sId="2">
    <nc r="K77" t="inlineStr">
      <is>
        <t>Romania</t>
      </is>
    </nc>
  </rcc>
  <rcc rId="3377" sId="2">
    <nc r="K78" t="inlineStr">
      <is>
        <t>Romania</t>
      </is>
    </nc>
  </rcc>
  <rcc rId="3378" sId="2">
    <nc r="K79" t="inlineStr">
      <is>
        <t>Romania</t>
      </is>
    </nc>
  </rcc>
  <rcc rId="3379" sId="2">
    <nc r="K80" t="inlineStr">
      <is>
        <t>Romania</t>
      </is>
    </nc>
  </rcc>
  <rcc rId="3380" sId="2">
    <nc r="K81" t="inlineStr">
      <is>
        <t>Romania</t>
      </is>
    </nc>
  </rcc>
  <rcc rId="3381" sId="2">
    <nc r="K82" t="inlineStr">
      <is>
        <t>Romania</t>
      </is>
    </nc>
  </rcc>
  <rcc rId="3382" sId="2">
    <nc r="K83" t="inlineStr">
      <is>
        <t>Romania</t>
      </is>
    </nc>
  </rcc>
  <rcc rId="3383" sId="2">
    <nc r="K84" t="inlineStr">
      <is>
        <t>Romania</t>
      </is>
    </nc>
  </rcc>
  <rcc rId="3384" sId="2">
    <nc r="K85" t="inlineStr">
      <is>
        <t>Romania</t>
      </is>
    </nc>
  </rcc>
  <rcc rId="3385" sId="2">
    <nc r="K86" t="inlineStr">
      <is>
        <t>Romania</t>
      </is>
    </nc>
  </rcc>
  <rcc rId="3386" sId="2">
    <nc r="K87" t="inlineStr">
      <is>
        <t>Romania</t>
      </is>
    </nc>
  </rcc>
  <rcc rId="3387" sId="2">
    <nc r="K88" t="inlineStr">
      <is>
        <t>Romania</t>
      </is>
    </nc>
  </rcc>
  <rcc rId="3388" sId="2">
    <nc r="K89" t="inlineStr">
      <is>
        <t>Romania</t>
      </is>
    </nc>
  </rcc>
  <rcc rId="3389" sId="2">
    <nc r="K90" t="inlineStr">
      <is>
        <t>Romania</t>
      </is>
    </nc>
  </rcc>
  <rcc rId="3390" sId="2">
    <nc r="K91" t="inlineStr">
      <is>
        <t>Romania</t>
      </is>
    </nc>
  </rcc>
  <rcc rId="3391" sId="2">
    <nc r="K92" t="inlineStr">
      <is>
        <t>Romania</t>
      </is>
    </nc>
  </rcc>
  <rcc rId="3392" sId="2">
    <nc r="K93" t="inlineStr">
      <is>
        <t>Romania</t>
      </is>
    </nc>
  </rcc>
  <rcc rId="3393" sId="2">
    <nc r="K94" t="inlineStr">
      <is>
        <t>Romania</t>
      </is>
    </nc>
  </rcc>
  <rcc rId="3394" sId="2">
    <nc r="K95" t="inlineStr">
      <is>
        <t>Romania</t>
      </is>
    </nc>
  </rcc>
  <rcc rId="3395" sId="2">
    <nc r="K96" t="inlineStr">
      <is>
        <t>Romania</t>
      </is>
    </nc>
  </rcc>
  <rcc rId="3396" sId="2">
    <nc r="K97" t="inlineStr">
      <is>
        <t>Romania</t>
      </is>
    </nc>
  </rcc>
  <rcc rId="3397" sId="2">
    <nc r="K98" t="inlineStr">
      <is>
        <t>Romania</t>
      </is>
    </nc>
  </rcc>
  <rcc rId="3398" sId="2">
    <nc r="K99" t="inlineStr">
      <is>
        <t>Romania</t>
      </is>
    </nc>
  </rcc>
  <rcc rId="3399" sId="2">
    <nc r="K100" t="inlineStr">
      <is>
        <t>Romania</t>
      </is>
    </nc>
  </rcc>
  <rcc rId="3400" sId="2">
    <nc r="K101" t="inlineStr">
      <is>
        <t>Romania</t>
      </is>
    </nc>
  </rcc>
  <rcc rId="3401" sId="2">
    <nc r="K102" t="inlineStr">
      <is>
        <t>Romania</t>
      </is>
    </nc>
  </rcc>
  <rcc rId="3402" sId="2">
    <nc r="K103" t="inlineStr">
      <is>
        <t>Romania</t>
      </is>
    </nc>
  </rcc>
  <rcc rId="3403" sId="2">
    <nc r="K104" t="inlineStr">
      <is>
        <t>Romania</t>
      </is>
    </nc>
  </rcc>
  <rcc rId="3404" sId="2">
    <nc r="K105" t="inlineStr">
      <is>
        <t>Romania</t>
      </is>
    </nc>
  </rcc>
  <rcc rId="3405" sId="2">
    <nc r="K106" t="inlineStr">
      <is>
        <t>Romania</t>
      </is>
    </nc>
  </rcc>
  <rcc rId="3406" sId="2">
    <nc r="K107" t="inlineStr">
      <is>
        <t>Romania</t>
      </is>
    </nc>
  </rcc>
  <rcc rId="3407" sId="2">
    <nc r="K108" t="inlineStr">
      <is>
        <t>Romania</t>
      </is>
    </nc>
  </rcc>
  <rcc rId="3408" sId="2">
    <nc r="K109" t="inlineStr">
      <is>
        <t>Romania</t>
      </is>
    </nc>
  </rcc>
  <rcc rId="3409" sId="2">
    <nc r="K110" t="inlineStr">
      <is>
        <t>Romania</t>
      </is>
    </nc>
  </rcc>
  <rcc rId="3410" sId="2">
    <nc r="K111" t="inlineStr">
      <is>
        <t>Romania</t>
      </is>
    </nc>
  </rcc>
  <rcc rId="3411" sId="2">
    <nc r="K112" t="inlineStr">
      <is>
        <t>Romania</t>
      </is>
    </nc>
  </rcc>
  <rcc rId="3412" sId="2">
    <nc r="K113" t="inlineStr">
      <is>
        <t>Romania</t>
      </is>
    </nc>
  </rcc>
  <rcc rId="3413" sId="2">
    <nc r="K114" t="inlineStr">
      <is>
        <t>Romania</t>
      </is>
    </nc>
  </rcc>
  <rcc rId="3414" sId="2">
    <nc r="K115" t="inlineStr">
      <is>
        <t>Romania</t>
      </is>
    </nc>
  </rcc>
  <rcc rId="3415" sId="2">
    <nc r="K116" t="inlineStr">
      <is>
        <t>Romania</t>
      </is>
    </nc>
  </rcc>
  <rcc rId="3416" sId="2">
    <nc r="K117" t="inlineStr">
      <is>
        <t>Romania</t>
      </is>
    </nc>
  </rcc>
  <rcc rId="3417" sId="2">
    <nc r="K118" t="inlineStr">
      <is>
        <t>Romania</t>
      </is>
    </nc>
  </rcc>
  <rcc rId="3418" sId="2">
    <nc r="K119" t="inlineStr">
      <is>
        <t>Romania</t>
      </is>
    </nc>
  </rcc>
  <rcc rId="3419" sId="2">
    <nc r="K120" t="inlineStr">
      <is>
        <t>Romania</t>
      </is>
    </nc>
  </rcc>
  <rcc rId="3420" sId="2">
    <nc r="K121" t="inlineStr">
      <is>
        <t>Romania</t>
      </is>
    </nc>
  </rcc>
  <rcc rId="3421" sId="2">
    <nc r="K122" t="inlineStr">
      <is>
        <t>Romania</t>
      </is>
    </nc>
  </rcc>
  <rcc rId="3422" sId="2">
    <nc r="K123" t="inlineStr">
      <is>
        <t>Romania</t>
      </is>
    </nc>
  </rcc>
  <rcc rId="3423" sId="2">
    <nc r="K124" t="inlineStr">
      <is>
        <t>Romania</t>
      </is>
    </nc>
  </rcc>
  <rcc rId="3424" sId="2">
    <nc r="K125" t="inlineStr">
      <is>
        <t>Romania</t>
      </is>
    </nc>
  </rcc>
  <rcc rId="3425" sId="2">
    <nc r="K126" t="inlineStr">
      <is>
        <t>Romania</t>
      </is>
    </nc>
  </rcc>
  <rcc rId="3426" sId="2">
    <nc r="K127" t="inlineStr">
      <is>
        <t>Romania</t>
      </is>
    </nc>
  </rcc>
  <rcc rId="3427" sId="2">
    <nc r="K128" t="inlineStr">
      <is>
        <t>Romania</t>
      </is>
    </nc>
  </rcc>
  <rcc rId="3428" sId="2">
    <nc r="K129" t="inlineStr">
      <is>
        <t>Romania</t>
      </is>
    </nc>
  </rcc>
  <rcc rId="3429" sId="2">
    <nc r="K130" t="inlineStr">
      <is>
        <t>Romania</t>
      </is>
    </nc>
  </rcc>
  <rcc rId="3430" sId="2">
    <nc r="K131" t="inlineStr">
      <is>
        <t>Romania</t>
      </is>
    </nc>
  </rcc>
  <rcc rId="3431" sId="2">
    <nc r="K132" t="inlineStr">
      <is>
        <t>Romania</t>
      </is>
    </nc>
  </rcc>
  <rcc rId="3432" sId="2">
    <nc r="K133" t="inlineStr">
      <is>
        <t>Romania</t>
      </is>
    </nc>
  </rcc>
  <rcc rId="3433" sId="2">
    <nc r="K134" t="inlineStr">
      <is>
        <t>Romania</t>
      </is>
    </nc>
  </rcc>
  <rcc rId="3434" sId="2">
    <nc r="K135" t="inlineStr">
      <is>
        <t>Romania</t>
      </is>
    </nc>
  </rcc>
  <rcc rId="3435" sId="2">
    <nc r="K136" t="inlineStr">
      <is>
        <t>Romania</t>
      </is>
    </nc>
  </rcc>
  <rcc rId="3436" sId="2">
    <nc r="K137" t="inlineStr">
      <is>
        <t>Romania</t>
      </is>
    </nc>
  </rcc>
  <rcc rId="3437" sId="2">
    <nc r="K138" t="inlineStr">
      <is>
        <t>Romania</t>
      </is>
    </nc>
  </rcc>
  <rcc rId="3438" sId="2">
    <nc r="K139" t="inlineStr">
      <is>
        <t>Romania</t>
      </is>
    </nc>
  </rcc>
  <rcc rId="3439" sId="2">
    <nc r="K140" t="inlineStr">
      <is>
        <t>Romania</t>
      </is>
    </nc>
  </rcc>
  <rcc rId="3440" sId="2">
    <nc r="K141" t="inlineStr">
      <is>
        <t>Romania</t>
      </is>
    </nc>
  </rcc>
  <rcc rId="3441" sId="2">
    <nc r="K145" t="inlineStr">
      <is>
        <t>Romania</t>
      </is>
    </nc>
  </rcc>
  <rcc rId="3442" sId="2">
    <nc r="K146" t="inlineStr">
      <is>
        <t>Romania</t>
      </is>
    </nc>
  </rcc>
  <rcc rId="3443" sId="2">
    <nc r="K147" t="inlineStr">
      <is>
        <t>Romania</t>
      </is>
    </nc>
  </rcc>
  <rcc rId="3444" sId="2">
    <nc r="K148" t="inlineStr">
      <is>
        <t>Romania</t>
      </is>
    </nc>
  </rcc>
  <rcc rId="3445" sId="2">
    <nc r="K149" t="inlineStr">
      <is>
        <t>Romania</t>
      </is>
    </nc>
  </rcc>
  <rcc rId="3446" sId="2">
    <nc r="K150" t="inlineStr">
      <is>
        <t>Romania</t>
      </is>
    </nc>
  </rcc>
  <rcc rId="3447" sId="2">
    <nc r="K151" t="inlineStr">
      <is>
        <t>Romania</t>
      </is>
    </nc>
  </rcc>
  <rcc rId="3448" sId="2">
    <nc r="K152" t="inlineStr">
      <is>
        <t>Romania</t>
      </is>
    </nc>
  </rcc>
  <rcc rId="3449" sId="2">
    <nc r="K153" t="inlineStr">
      <is>
        <t>Romania</t>
      </is>
    </nc>
  </rcc>
  <rcc rId="3450" sId="2">
    <nc r="K154" t="inlineStr">
      <is>
        <t>Romania</t>
      </is>
    </nc>
  </rcc>
  <rcc rId="3451" sId="2">
    <nc r="K155" t="inlineStr">
      <is>
        <t>Romania</t>
      </is>
    </nc>
  </rcc>
  <rcc rId="3452" sId="2">
    <nc r="K156" t="inlineStr">
      <is>
        <t>Romania</t>
      </is>
    </nc>
  </rcc>
  <rcc rId="3453" sId="2">
    <nc r="K157" t="inlineStr">
      <is>
        <t>Romania</t>
      </is>
    </nc>
  </rcc>
  <rcc rId="3454" sId="2">
    <nc r="K158" t="inlineStr">
      <is>
        <t>Romania</t>
      </is>
    </nc>
  </rcc>
  <rcc rId="3455" sId="2">
    <nc r="K159" t="inlineStr">
      <is>
        <t>Romania</t>
      </is>
    </nc>
  </rcc>
  <rcc rId="3456" sId="2">
    <nc r="K160" t="inlineStr">
      <is>
        <t>Romania</t>
      </is>
    </nc>
  </rcc>
  <rcc rId="3457" sId="2">
    <nc r="K161" t="inlineStr">
      <is>
        <t>Romania</t>
      </is>
    </nc>
  </rcc>
  <rcc rId="3458" sId="2">
    <nc r="K162" t="inlineStr">
      <is>
        <t>Romania</t>
      </is>
    </nc>
  </rcc>
  <rcc rId="3459" sId="2">
    <nc r="K163" t="inlineStr">
      <is>
        <t>Romania</t>
      </is>
    </nc>
  </rcc>
  <rcc rId="3460" sId="2">
    <nc r="K164" t="inlineStr">
      <is>
        <t>Romania</t>
      </is>
    </nc>
  </rcc>
  <rcc rId="3461" sId="2">
    <nc r="K165" t="inlineStr">
      <is>
        <t>Romania</t>
      </is>
    </nc>
  </rcc>
  <rcc rId="3462" sId="2">
    <nc r="K166" t="inlineStr">
      <is>
        <t>Romania</t>
      </is>
    </nc>
  </rcc>
  <rcc rId="3463" sId="2">
    <nc r="K167" t="inlineStr">
      <is>
        <t>Romania</t>
      </is>
    </nc>
  </rcc>
  <rcc rId="3464" sId="2">
    <nc r="K168" t="inlineStr">
      <is>
        <t>Romania</t>
      </is>
    </nc>
  </rcc>
  <rcc rId="3465" sId="2">
    <nc r="K169" t="inlineStr">
      <is>
        <t>Romania</t>
      </is>
    </nc>
  </rcc>
  <rcc rId="3466" sId="2">
    <nc r="K170" t="inlineStr">
      <is>
        <t>Romania</t>
      </is>
    </nc>
  </rcc>
  <rcc rId="3467" sId="2">
    <nc r="K171" t="inlineStr">
      <is>
        <t>Romania</t>
      </is>
    </nc>
  </rcc>
  <rcc rId="3468" sId="2">
    <nc r="K172" t="inlineStr">
      <is>
        <t>Romania</t>
      </is>
    </nc>
  </rcc>
  <rcc rId="3469" sId="2">
    <nc r="K173" t="inlineStr">
      <is>
        <t>Romania</t>
      </is>
    </nc>
  </rcc>
  <rcc rId="3470" sId="2">
    <nc r="K174" t="inlineStr">
      <is>
        <t>Romania</t>
      </is>
    </nc>
  </rcc>
  <rcc rId="3471" sId="2">
    <nc r="K175" t="inlineStr">
      <is>
        <t>Romania</t>
      </is>
    </nc>
  </rcc>
  <rcc rId="3472" sId="2">
    <nc r="K176" t="inlineStr">
      <is>
        <t>Romania</t>
      </is>
    </nc>
  </rcc>
  <rcc rId="3473" sId="2">
    <nc r="K177" t="inlineStr">
      <is>
        <t>Romania</t>
      </is>
    </nc>
  </rcc>
  <rcc rId="3474" sId="2" odxf="1" s="1" dxf="1">
    <nc r="K178" t="inlineStr">
      <is>
        <t>Romania</t>
      </is>
    </nc>
    <odxf>
      <font>
        <b/>
        <i val="0"/>
        <strike val="0"/>
        <condense val="0"/>
        <extend val="0"/>
        <outline val="0"/>
        <shadow val="0"/>
        <u val="none"/>
        <vertAlign val="baseline"/>
        <sz val="10"/>
        <color rgb="FF444444"/>
        <name val="Calibri"/>
        <scheme val="minor"/>
      </font>
      <numFmt numFmtId="164" formatCode="_-* #,##0.00\ _l_e_i_-;\-* #,##0.00\ _l_e_i_-;_-* &quot;-&quot;??\ _l_e_i_-;_-@_-"/>
      <fill>
        <patternFill patternType="solid">
          <fgColor indexed="64"/>
          <bgColor theme="5" tint="0.399975585192419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0"/>
        <color auto="1"/>
        <name val="Calibri"/>
        <scheme val="minor"/>
      </font>
      <numFmt numFmtId="13" formatCode="0%"/>
      <fill>
        <patternFill patternType="none">
          <bgColor indexed="65"/>
        </patternFill>
      </fill>
      <border outline="0">
        <top/>
      </border>
    </ndxf>
  </rcc>
  <rcc rId="3475" sId="2">
    <nc r="K179" t="inlineStr">
      <is>
        <t>Romania</t>
      </is>
    </nc>
  </rcc>
  <rcc rId="3476" sId="2">
    <nc r="K180" t="inlineStr">
      <is>
        <t>Romania</t>
      </is>
    </nc>
  </rcc>
  <rcc rId="3477" sId="2">
    <nc r="K184" t="inlineStr">
      <is>
        <t>Romania</t>
      </is>
    </nc>
  </rcc>
  <rcc rId="3478" sId="2">
    <nc r="K185" t="inlineStr">
      <is>
        <t>Romania</t>
      </is>
    </nc>
  </rcc>
  <rcc rId="3479" sId="2">
    <nc r="K187" t="inlineStr">
      <is>
        <t>Romania</t>
      </is>
    </nc>
  </rcc>
  <rcc rId="3480" sId="2">
    <nc r="K188" t="inlineStr">
      <is>
        <t>Romania</t>
      </is>
    </nc>
  </rcc>
  <rcc rId="3481" sId="2">
    <nc r="K192" t="inlineStr">
      <is>
        <t>Romania</t>
      </is>
    </nc>
  </rcc>
  <rcc rId="3482" sId="2">
    <nc r="K194" t="inlineStr">
      <is>
        <t>Romania</t>
      </is>
    </nc>
  </rcc>
  <rcc rId="3483" sId="2">
    <nc r="K195" t="inlineStr">
      <is>
        <t>Romania</t>
      </is>
    </nc>
  </rcc>
  <rcc rId="3484" sId="2">
    <nc r="K196" t="inlineStr">
      <is>
        <t>Romania</t>
      </is>
    </nc>
  </rcc>
  <rcc rId="3485" sId="2">
    <nc r="K199" t="inlineStr">
      <is>
        <t>Romania</t>
      </is>
    </nc>
  </rcc>
  <rcc rId="3486" sId="2">
    <nc r="K200" t="inlineStr">
      <is>
        <t>Romania</t>
      </is>
    </nc>
  </rcc>
  <rfmt sheetId="2" sqref="J75:K75">
    <dxf>
      <font>
        <b val="0"/>
        <i val="0"/>
        <strike val="0"/>
        <condense val="0"/>
        <extend val="0"/>
        <outline val="0"/>
        <shadow val="0"/>
        <u val="none"/>
        <vertAlign val="baseline"/>
        <sz val="11"/>
        <color theme="0"/>
        <name val="Calibri"/>
        <scheme val="minor"/>
      </font>
      <fill>
        <patternFill patternType="solid">
          <fgColor indexed="65"/>
          <bgColor theme="7"/>
        </patternFill>
      </fill>
    </dxf>
  </rfmt>
  <rfmt sheetId="2" sqref="J75:K75">
    <dxf>
      <font>
        <b val="0"/>
        <i val="0"/>
        <strike val="0"/>
        <condense val="0"/>
        <extend val="0"/>
        <outline val="0"/>
        <shadow val="0"/>
        <u val="none"/>
        <vertAlign val="baseline"/>
        <sz val="11"/>
        <color theme="0"/>
        <name val="Calibri"/>
        <scheme val="minor"/>
      </font>
      <fill>
        <patternFill patternType="solid">
          <fgColor indexed="65"/>
          <bgColor theme="5"/>
        </patternFill>
      </fill>
    </dxf>
  </rfmt>
  <rfmt sheetId="2" sqref="J75:K75">
    <dxf>
      <fill>
        <patternFill>
          <bgColor theme="5" tint="0.39997558519241921"/>
        </patternFill>
      </fill>
    </dxf>
  </rfmt>
  <rcv guid="{08ABD1B6-502E-42CC-A0EF-58776D0102FE}" action="delete"/>
  <rdn rId="0" localSheetId="2" customView="1" name="Z_08ABD1B6_502E_42CC_A0EF_58776D0102FE_.wvu.FilterData" hidden="1" oldHidden="1">
    <formula>'Contracte semnate'!$B$7:$AC$203</formula>
    <oldFormula>'Contracte semnate'!$B$7:$AC$203</oldFormula>
  </rdn>
  <rcv guid="{08ABD1B6-502E-42CC-A0EF-58776D0102FE}"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88" sId="2">
    <oc r="W9" t="inlineStr">
      <is>
        <t>Total valoare proiect</t>
      </is>
    </oc>
    <nc r="W9" t="inlineStr">
      <is>
        <t>Total Project Value</t>
      </is>
    </nc>
  </rcc>
  <rcc rId="3489" sId="2">
    <oc r="X9" t="inlineStr">
      <is>
        <t>Stadiu proiect 
(în implementare/ reziliat/ finalizat)</t>
      </is>
    </oc>
    <nc r="X9" t="inlineStr">
      <is>
        <t>Project stage
(in implementation / terminated / completed)</t>
      </is>
    </nc>
  </rcc>
  <rcc rId="3490" sId="2">
    <oc r="Y10" t="inlineStr">
      <is>
        <t>Fonduri UE</t>
      </is>
    </oc>
    <nc r="Y10" t="inlineStr">
      <is>
        <t>EU Funds</t>
      </is>
    </nc>
  </rcc>
  <rcc rId="3491" sId="2">
    <oc r="S11" t="inlineStr">
      <is>
        <t>Co-financing</t>
      </is>
    </oc>
    <nc r="S11" t="inlineStr">
      <is>
        <t>National Contribution</t>
      </is>
    </nc>
  </rcc>
  <rcc rId="3492" sId="2">
    <oc r="Z10" t="inlineStr">
      <is>
        <r>
          <t>Contribuția națională</t>
        </r>
        <r>
          <rPr>
            <b/>
            <sz val="10"/>
            <color rgb="FFFF0000"/>
            <rFont val="Calibri"/>
            <family val="2"/>
            <charset val="238"/>
          </rPr>
          <t xml:space="preserve"> </t>
        </r>
      </is>
    </oc>
    <nc r="Z10" t="inlineStr">
      <is>
        <t>National Contribution</t>
      </is>
    </nc>
  </rcc>
  <rcc rId="3493" sId="2">
    <oc r="Y9" t="inlineStr">
      <is>
        <t>Plăţi către beneficiari (lei)</t>
      </is>
    </oc>
    <nc r="Y9" t="inlineStr">
      <is>
        <t>Payments to  the beneficiaries (lei)</t>
      </is>
    </nc>
  </rcc>
  <rcc rId="3494" sId="2">
    <oc r="G5" t="inlineStr">
      <is>
        <t>LISTA PROIECTELOR CONTRACTATE - PROGRAMUL OPERATIONAL INFRASTRUCTURA MARE</t>
      </is>
    </oc>
    <nc r="G5" t="inlineStr">
      <is>
        <t>LIST OF CONTRACTED PROJECTS - LARGE  INFRASTRUCTURE OPERATIONAL PROGRAM</t>
      </is>
    </nc>
  </rcc>
  <rcv guid="{08ABD1B6-502E-42CC-A0EF-58776D0102FE}" action="delete"/>
  <rdn rId="0" localSheetId="2" customView="1" name="Z_08ABD1B6_502E_42CC_A0EF_58776D0102FE_.wvu.FilterData" hidden="1" oldHidden="1">
    <formula>'Contracte semnate'!$B$7:$AC$203</formula>
    <oldFormula>'Contracte semnate'!$B$7:$AC$203</oldFormula>
  </rdn>
  <rcv guid="{08ABD1B6-502E-42CC-A0EF-58776D0102FE}"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8ABD1B6-502E-42CC-A0EF-58776D0102FE}" action="delete"/>
  <rdn rId="0" localSheetId="2" customView="1" name="Z_08ABD1B6_502E_42CC_A0EF_58776D0102FE_.wvu.FilterData" hidden="1" oldHidden="1">
    <formula>'Contracte semnate'!$B$7:$AC$203</formula>
    <oldFormula>'Contracte semnate'!$B$7:$AC$203</oldFormula>
  </rdn>
  <rcv guid="{08ABD1B6-502E-42CC-A0EF-58776D0102FE}"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54" sId="2" numFmtId="34">
    <nc r="AD21">
      <v>1431259532.0599999</v>
    </nc>
  </rcc>
  <rcc rId="3255" sId="2" numFmtId="34">
    <nc r="AE21">
      <v>477086510.64999998</v>
    </nc>
  </rcc>
  <rcc rId="3256" sId="2" numFmtId="34">
    <nc r="AD26">
      <v>581433251.87999988</v>
    </nc>
  </rcc>
  <rcc rId="3257" sId="2" numFmtId="34">
    <nc r="AE26">
      <v>193811083.93999997</v>
    </nc>
  </rcc>
  <rcc rId="3258" sId="2" numFmtId="34">
    <nc r="AD27">
      <v>581433251.87999988</v>
    </nc>
  </rcc>
  <rcc rId="3259" sId="2" numFmtId="34">
    <nc r="AE27">
      <v>193811083.93999997</v>
    </nc>
  </rcc>
  <rcc rId="3260" sId="2" numFmtId="4">
    <oc r="AB180">
      <v>0</v>
    </oc>
    <nc r="AB180">
      <v>5060872.93</v>
    </nc>
  </rcc>
  <rcc rId="3261" sId="2" numFmtId="4">
    <oc r="AC180">
      <v>0</v>
    </oc>
    <nc r="AC180">
      <v>774015.86</v>
    </nc>
  </rcc>
  <rcc rId="3262" sId="2">
    <oc r="AB203">
      <f>AB27+AB56+AB143+AB182+AB198+AB202</f>
    </oc>
    <nc r="AB203">
      <f>+AB27+AB56+AB143+AB182+AB190+AB202</f>
    </nc>
  </rcc>
  <rcc rId="3263" sId="2">
    <oc r="AC203">
      <f>AC27+AC56+AC143+AC182+AC198+AC202</f>
    </oc>
    <nc r="AC203">
      <f>+AC27+AC56+AC143+AC182+AC190+AC202</f>
    </nc>
  </rcc>
  <rcc rId="3264" sId="2" odxf="1" dxf="1">
    <oc r="AC202">
      <f>AC201</f>
    </oc>
    <nc r="AC202">
      <f>+AC200+AC199</f>
    </nc>
    <odxf>
      <border outline="0">
        <right style="medium">
          <color indexed="64"/>
        </right>
      </border>
    </odxf>
    <ndxf>
      <border outline="0">
        <right style="thin">
          <color indexed="64"/>
        </right>
      </border>
    </ndxf>
  </rcc>
  <rcc rId="3265" sId="2">
    <oc r="AB205">
      <f>+'E:\Users\daniela.cirlig\Desktop\Raportare la 31.01.2018\colegii\Mihaela DAMIAN\[Anexa 3 - Lista contractelor semnate_ 31.01.2018.xlsx]Contracte semnate'!$Q$179-AB203</f>
    </oc>
    <nc r="AB205"/>
  </rcc>
  <rcc rId="3266" sId="2">
    <oc r="AC205">
      <f>+'E:\Users\daniela.cirlig\Desktop\Raportare la 31.01.2018\colegii\Mihaela DAMIAN\[Anexa 3 - Lista contractelor semnate_ 31.01.2018.xlsx]Contracte semnate'!$Q$179-AC203</f>
    </oc>
    <nc r="AC205"/>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B29" start="0" length="0">
    <dxf>
      <font>
        <color rgb="FFFF0000"/>
        <name val="Calibri"/>
        <scheme val="minor"/>
      </font>
    </dxf>
  </rfmt>
  <rfmt sheetId="2" sqref="AC29" start="0" length="0">
    <dxf>
      <font>
        <color rgb="FFFF0000"/>
        <name val="Calibri"/>
        <scheme val="minor"/>
      </font>
    </dxf>
  </rfmt>
  <rfmt sheetId="2" sqref="AB30" start="0" length="0">
    <dxf>
      <font>
        <color rgb="FFFF0000"/>
        <name val="Calibri"/>
        <scheme val="minor"/>
      </font>
    </dxf>
  </rfmt>
  <rfmt sheetId="2" sqref="AC30" start="0" length="0">
    <dxf>
      <font>
        <color rgb="FFFF0000"/>
        <name val="Calibri"/>
        <scheme val="minor"/>
      </font>
      <border outline="0">
        <right style="thin">
          <color indexed="64"/>
        </right>
      </border>
    </dxf>
  </rfmt>
  <rfmt sheetId="2" sqref="AB31" start="0" length="0">
    <dxf>
      <font>
        <color rgb="FFFF0000"/>
        <name val="Calibri"/>
        <scheme val="minor"/>
      </font>
    </dxf>
  </rfmt>
  <rfmt sheetId="2" sqref="AC31" start="0" length="0">
    <dxf>
      <font>
        <color rgb="FFFF0000"/>
        <name val="Calibri"/>
        <scheme val="minor"/>
      </font>
    </dxf>
  </rfmt>
  <rfmt sheetId="2" sqref="AB32" start="0" length="0">
    <dxf>
      <font>
        <color rgb="FFFF0000"/>
        <name val="Calibri"/>
        <scheme val="minor"/>
      </font>
    </dxf>
  </rfmt>
  <rfmt sheetId="2" sqref="AC32" start="0" length="0">
    <dxf>
      <font>
        <color rgb="FFFF0000"/>
        <name val="Calibri"/>
        <scheme val="minor"/>
      </font>
    </dxf>
  </rfmt>
  <rfmt sheetId="2" sqref="AB33" start="0" length="0">
    <dxf>
      <font>
        <color rgb="FFFF0000"/>
        <name val="Calibri"/>
        <scheme val="minor"/>
      </font>
    </dxf>
  </rfmt>
  <rfmt sheetId="2" sqref="AC33" start="0" length="0">
    <dxf>
      <font>
        <color rgb="FFFF0000"/>
        <name val="Calibri"/>
        <scheme val="minor"/>
      </font>
      <border outline="0">
        <right style="thin">
          <color indexed="64"/>
        </right>
      </border>
    </dxf>
  </rfmt>
  <rfmt sheetId="2" sqref="AB34" start="0" length="0">
    <dxf>
      <font>
        <color rgb="FFFF0000"/>
        <name val="Calibri"/>
        <scheme val="minor"/>
      </font>
    </dxf>
  </rfmt>
  <rfmt sheetId="2" sqref="AC34" start="0" length="0">
    <dxf>
      <font>
        <color rgb="FFFF0000"/>
        <name val="Calibri"/>
        <scheme val="minor"/>
      </font>
    </dxf>
  </rfmt>
  <rfmt sheetId="2" sqref="AB35" start="0" length="0">
    <dxf>
      <font>
        <color rgb="FFFF0000"/>
        <name val="Calibri"/>
        <scheme val="minor"/>
      </font>
    </dxf>
  </rfmt>
  <rfmt sheetId="2" sqref="AC35" start="0" length="0">
    <dxf>
      <font>
        <color rgb="FFFF0000"/>
        <name val="Calibri"/>
        <scheme val="minor"/>
      </font>
      <border outline="0">
        <right style="thin">
          <color indexed="64"/>
        </right>
      </border>
    </dxf>
  </rfmt>
  <rfmt sheetId="2" sqref="AB36" start="0" length="0">
    <dxf>
      <font>
        <color rgb="FFFF0000"/>
        <name val="Calibri"/>
        <scheme val="minor"/>
      </font>
    </dxf>
  </rfmt>
  <rfmt sheetId="2" sqref="AC36" start="0" length="0">
    <dxf>
      <font>
        <color rgb="FFFF0000"/>
        <name val="Calibri"/>
        <scheme val="minor"/>
      </font>
      <border outline="0">
        <right style="thin">
          <color indexed="64"/>
        </right>
      </border>
    </dxf>
  </rfmt>
  <rfmt sheetId="2" sqref="AB50" start="0" length="0">
    <dxf>
      <font>
        <color rgb="FFFF0000"/>
        <name val="Calibri"/>
        <scheme val="minor"/>
      </font>
    </dxf>
  </rfmt>
  <rfmt sheetId="2" sqref="AC50" start="0" length="0">
    <dxf>
      <font>
        <color rgb="FFFF0000"/>
        <name val="Calibri"/>
        <scheme val="minor"/>
      </font>
    </dxf>
  </rfmt>
  <rfmt sheetId="2" sqref="AB51" start="0" length="0">
    <dxf>
      <font>
        <color rgb="FFFF0000"/>
        <name val="Calibri"/>
        <scheme val="minor"/>
      </font>
    </dxf>
  </rfmt>
  <rfmt sheetId="2" sqref="AC51" start="0" length="0">
    <dxf>
      <font>
        <color rgb="FFFF0000"/>
        <name val="Calibri"/>
        <scheme val="minor"/>
      </font>
    </dxf>
  </rfmt>
  <rfmt sheetId="2" sqref="AB52" start="0" length="0">
    <dxf>
      <font>
        <color rgb="FFFF0000"/>
        <name val="Calibri"/>
        <scheme val="minor"/>
      </font>
    </dxf>
  </rfmt>
  <rfmt sheetId="2" sqref="AC52" start="0" length="0">
    <dxf>
      <font>
        <color rgb="FFFF0000"/>
        <name val="Calibri"/>
        <scheme val="minor"/>
      </font>
    </dxf>
  </rfmt>
  <rfmt sheetId="2" sqref="AB58" start="0" length="0">
    <dxf>
      <font>
        <color rgb="FFFF0000"/>
        <name val="Calibri"/>
        <scheme val="minor"/>
      </font>
      <fill>
        <patternFill patternType="none">
          <bgColor indexed="65"/>
        </patternFill>
      </fill>
    </dxf>
  </rfmt>
  <rfmt sheetId="2" sqref="AC58" start="0" length="0">
    <dxf>
      <font>
        <color rgb="FFFF0000"/>
        <name val="Calibri"/>
        <scheme val="minor"/>
      </font>
      <border outline="0">
        <right style="thin">
          <color indexed="64"/>
        </right>
      </border>
    </dxf>
  </rfmt>
  <rfmt sheetId="2" sqref="AB59" start="0" length="0">
    <dxf>
      <font>
        <color rgb="FFFF0000"/>
        <name val="Calibri"/>
        <scheme val="minor"/>
      </font>
      <fill>
        <patternFill patternType="none">
          <bgColor indexed="65"/>
        </patternFill>
      </fill>
    </dxf>
  </rfmt>
  <rfmt sheetId="2" sqref="AC59" start="0" length="0">
    <dxf>
      <font>
        <color rgb="FFFF0000"/>
        <name val="Calibri"/>
        <scheme val="minor"/>
      </font>
      <border outline="0">
        <right style="thin">
          <color indexed="64"/>
        </right>
      </border>
    </dxf>
  </rfmt>
  <rfmt sheetId="2" sqref="AB60" start="0" length="0">
    <dxf>
      <font>
        <color rgb="FFFF0000"/>
        <name val="Calibri"/>
        <scheme val="minor"/>
      </font>
      <fill>
        <patternFill patternType="none">
          <bgColor indexed="65"/>
        </patternFill>
      </fill>
    </dxf>
  </rfmt>
  <rfmt sheetId="2" sqref="AC60" start="0" length="0">
    <dxf>
      <font>
        <color rgb="FFFF0000"/>
        <name val="Calibri"/>
        <scheme val="minor"/>
      </font>
      <border outline="0">
        <right style="thin">
          <color indexed="64"/>
        </right>
      </border>
    </dxf>
  </rfmt>
  <rfmt sheetId="2" sqref="AB61" start="0" length="0">
    <dxf>
      <fill>
        <patternFill patternType="none">
          <bgColor indexed="65"/>
        </patternFill>
      </fill>
    </dxf>
  </rfmt>
  <rfmt sheetId="2" sqref="AC61" start="0" length="0">
    <dxf>
      <border outline="0">
        <right style="thin">
          <color indexed="64"/>
        </right>
      </border>
    </dxf>
  </rfmt>
  <rfmt sheetId="2" sqref="AB62" start="0" length="0">
    <dxf>
      <font>
        <color rgb="FFFF0000"/>
        <name val="Calibri"/>
        <scheme val="minor"/>
      </font>
      <fill>
        <patternFill patternType="none">
          <bgColor indexed="65"/>
        </patternFill>
      </fill>
    </dxf>
  </rfmt>
  <rfmt sheetId="2" sqref="AC62" start="0" length="0">
    <dxf>
      <font>
        <color rgb="FFFF0000"/>
        <name val="Calibri"/>
        <scheme val="minor"/>
      </font>
      <border outline="0">
        <right style="thin">
          <color indexed="64"/>
        </right>
      </border>
    </dxf>
  </rfmt>
  <rfmt sheetId="2" sqref="AB63" start="0" length="0">
    <dxf>
      <font>
        <color rgb="FFFF0000"/>
        <name val="Calibri"/>
        <scheme val="minor"/>
      </font>
      <fill>
        <patternFill patternType="none">
          <bgColor indexed="65"/>
        </patternFill>
      </fill>
    </dxf>
  </rfmt>
  <rfmt sheetId="2" sqref="AC63" start="0" length="0">
    <dxf>
      <font>
        <color rgb="FFFF0000"/>
        <name val="Calibri"/>
        <scheme val="minor"/>
      </font>
      <border outline="0">
        <right style="thin">
          <color indexed="64"/>
        </right>
      </border>
    </dxf>
  </rfmt>
  <rfmt sheetId="2" sqref="AB64" start="0" length="0">
    <dxf>
      <font>
        <color rgb="FFFF0000"/>
        <name val="Calibri"/>
        <scheme val="minor"/>
      </font>
      <fill>
        <patternFill patternType="none">
          <bgColor indexed="65"/>
        </patternFill>
      </fill>
    </dxf>
  </rfmt>
  <rfmt sheetId="2" sqref="AC64" start="0" length="0">
    <dxf>
      <font>
        <color rgb="FFFF0000"/>
        <name val="Calibri"/>
        <scheme val="minor"/>
      </font>
      <fill>
        <patternFill patternType="none">
          <bgColor indexed="65"/>
        </patternFill>
      </fill>
      <border outline="0">
        <right style="thin">
          <color indexed="64"/>
        </right>
      </border>
    </dxf>
  </rfmt>
  <rfmt sheetId="2" sqref="AB65" start="0" length="0">
    <dxf>
      <font>
        <color rgb="FFFF0000"/>
        <name val="Calibri"/>
        <scheme val="minor"/>
      </font>
      <fill>
        <patternFill patternType="none">
          <bgColor indexed="65"/>
        </patternFill>
      </fill>
    </dxf>
  </rfmt>
  <rfmt sheetId="2" sqref="AC65" start="0" length="0">
    <dxf>
      <font>
        <color rgb="FFFF0000"/>
        <name val="Calibri"/>
        <scheme val="minor"/>
      </font>
      <border outline="0">
        <right style="thin">
          <color indexed="64"/>
        </right>
      </border>
    </dxf>
  </rfmt>
  <rfmt sheetId="2" sqref="AB66" start="0" length="0">
    <dxf>
      <font>
        <color rgb="FFFF0000"/>
        <name val="Calibri"/>
        <scheme val="minor"/>
      </font>
      <fill>
        <patternFill patternType="none">
          <bgColor indexed="65"/>
        </patternFill>
      </fill>
    </dxf>
  </rfmt>
  <rfmt sheetId="2" sqref="AC66" start="0" length="0">
    <dxf>
      <font>
        <color rgb="FFFF0000"/>
        <name val="Calibri"/>
        <scheme val="minor"/>
      </font>
      <border outline="0">
        <right style="thin">
          <color indexed="64"/>
        </right>
      </border>
    </dxf>
  </rfmt>
  <rfmt sheetId="2" sqref="AB67" start="0" length="0">
    <dxf>
      <font>
        <color rgb="FFFF0000"/>
        <name val="Calibri"/>
        <scheme val="minor"/>
      </font>
    </dxf>
  </rfmt>
  <rfmt sheetId="2" sqref="AC67" start="0" length="0">
    <dxf>
      <font>
        <color rgb="FFFF0000"/>
        <name val="Calibri"/>
        <scheme val="minor"/>
      </font>
      <border outline="0">
        <right style="thin">
          <color indexed="64"/>
        </right>
      </border>
    </dxf>
  </rfmt>
  <rfmt sheetId="2" sqref="AB68" start="0" length="0">
    <dxf>
      <fill>
        <patternFill patternType="none">
          <bgColor indexed="65"/>
        </patternFill>
      </fill>
    </dxf>
  </rfmt>
  <rfmt sheetId="2" sqref="AC68" start="0" length="0">
    <dxf>
      <fill>
        <patternFill patternType="none">
          <bgColor indexed="65"/>
        </patternFill>
      </fill>
      <border outline="0">
        <right style="thin">
          <color indexed="64"/>
        </right>
      </border>
    </dxf>
  </rfmt>
  <rfmt sheetId="2" sqref="AB71" start="0" length="0">
    <dxf>
      <font>
        <color rgb="FFFF0000"/>
        <name val="Calibri"/>
        <scheme val="minor"/>
      </font>
      <fill>
        <patternFill patternType="none">
          <bgColor indexed="65"/>
        </patternFill>
      </fill>
    </dxf>
  </rfmt>
  <rfmt sheetId="2" sqref="AC71" start="0" length="0">
    <dxf>
      <font>
        <color rgb="FFFF0000"/>
        <name val="Calibri"/>
        <scheme val="minor"/>
      </font>
      <fill>
        <patternFill patternType="none">
          <bgColor indexed="65"/>
        </patternFill>
      </fill>
      <border outline="0">
        <right style="thin">
          <color indexed="64"/>
        </right>
      </border>
    </dxf>
  </rfmt>
  <rfmt sheetId="2" sqref="AB76" start="0" length="0">
    <dxf>
      <font>
        <color rgb="FFFF0000"/>
        <name val="Calibri"/>
        <scheme val="minor"/>
      </font>
    </dxf>
  </rfmt>
  <rfmt sheetId="2" sqref="AC76" start="0" length="0">
    <dxf>
      <font>
        <color rgb="FFFF0000"/>
        <name val="Calibri"/>
        <scheme val="minor"/>
      </font>
      <border outline="0">
        <right style="thin">
          <color indexed="64"/>
        </right>
      </border>
    </dxf>
  </rfmt>
  <rfmt sheetId="2" sqref="AB77" start="0" length="0">
    <dxf>
      <font>
        <color rgb="FFFF0000"/>
        <name val="Calibri"/>
        <scheme val="minor"/>
      </font>
      <fill>
        <patternFill patternType="none">
          <bgColor indexed="65"/>
        </patternFill>
      </fill>
    </dxf>
  </rfmt>
  <rfmt sheetId="2" sqref="AC77" start="0" length="0">
    <dxf>
      <font>
        <color rgb="FFFF0000"/>
        <name val="Calibri"/>
        <scheme val="minor"/>
      </font>
      <fill>
        <patternFill patternType="none">
          <bgColor indexed="65"/>
        </patternFill>
      </fill>
      <border outline="0">
        <right style="thin">
          <color indexed="64"/>
        </right>
      </border>
    </dxf>
  </rfmt>
  <rfmt sheetId="2" sqref="AB78" start="0" length="0">
    <dxf>
      <font>
        <color rgb="FFFF0000"/>
        <name val="Calibri"/>
        <scheme val="minor"/>
      </font>
      <fill>
        <patternFill patternType="none">
          <bgColor indexed="65"/>
        </patternFill>
      </fill>
    </dxf>
  </rfmt>
  <rfmt sheetId="2" sqref="AC78" start="0" length="0">
    <dxf>
      <font>
        <color rgb="FFFF0000"/>
        <name val="Calibri"/>
        <scheme val="minor"/>
      </font>
      <fill>
        <patternFill patternType="none">
          <bgColor indexed="65"/>
        </patternFill>
      </fill>
      <border outline="0">
        <right style="thin">
          <color indexed="64"/>
        </right>
      </border>
    </dxf>
  </rfmt>
  <rfmt sheetId="2" sqref="AB79" start="0" length="0">
    <dxf>
      <font>
        <color rgb="FFFF0000"/>
        <name val="Calibri"/>
        <scheme val="minor"/>
      </font>
      <fill>
        <patternFill patternType="none">
          <bgColor indexed="65"/>
        </patternFill>
      </fill>
    </dxf>
  </rfmt>
  <rfmt sheetId="2" sqref="AC79" start="0" length="0">
    <dxf>
      <font>
        <color rgb="FFFF0000"/>
        <name val="Calibri"/>
        <scheme val="minor"/>
      </font>
      <fill>
        <patternFill patternType="none">
          <bgColor indexed="65"/>
        </patternFill>
      </fill>
      <border outline="0">
        <right style="thin">
          <color indexed="64"/>
        </right>
      </border>
    </dxf>
  </rfmt>
  <rfmt sheetId="2" sqref="AB85" start="0" length="0">
    <dxf>
      <font>
        <color rgb="FFFF0000"/>
        <name val="Calibri"/>
        <scheme val="minor"/>
      </font>
    </dxf>
  </rfmt>
  <rfmt sheetId="2" sqref="AC85" start="0" length="0">
    <dxf>
      <font>
        <color rgb="FFFF0000"/>
        <name val="Calibri"/>
        <scheme val="minor"/>
      </font>
      <border outline="0">
        <right style="thin">
          <color indexed="64"/>
        </right>
      </border>
    </dxf>
  </rfmt>
  <rfmt sheetId="2" sqref="AB86" start="0" length="0">
    <dxf>
      <font>
        <color rgb="FFFF0000"/>
        <name val="Calibri"/>
        <scheme val="minor"/>
      </font>
    </dxf>
  </rfmt>
  <rfmt sheetId="2" sqref="AC86" start="0" length="0">
    <dxf>
      <font>
        <color rgb="FFFF0000"/>
        <name val="Calibri"/>
        <scheme val="minor"/>
      </font>
      <border outline="0">
        <right style="thin">
          <color indexed="64"/>
        </right>
      </border>
    </dxf>
  </rfmt>
  <rfmt sheetId="2" sqref="AB87" start="0" length="0">
    <dxf>
      <font>
        <color rgb="FFFF0000"/>
        <name val="Calibri"/>
        <scheme val="minor"/>
      </font>
    </dxf>
  </rfmt>
  <rfmt sheetId="2" sqref="AC87" start="0" length="0">
    <dxf>
      <font>
        <color rgb="FFFF0000"/>
        <name val="Calibri"/>
        <scheme val="minor"/>
      </font>
      <border outline="0">
        <right style="thin">
          <color indexed="64"/>
        </right>
      </border>
    </dxf>
  </rfmt>
  <rfmt sheetId="2" sqref="AB88" start="0" length="0">
    <dxf>
      <font>
        <color rgb="FFFF0000"/>
        <name val="Calibri"/>
        <scheme val="minor"/>
      </font>
    </dxf>
  </rfmt>
  <rfmt sheetId="2" sqref="AC88" start="0" length="0">
    <dxf>
      <font>
        <color rgb="FFFF0000"/>
        <name val="Calibri"/>
        <scheme val="minor"/>
      </font>
      <border outline="0">
        <right style="thin">
          <color indexed="64"/>
        </right>
      </border>
    </dxf>
  </rfmt>
  <rfmt sheetId="2" sqref="AC89" start="0" length="0">
    <dxf>
      <border outline="0">
        <right style="thin">
          <color indexed="64"/>
        </right>
      </border>
    </dxf>
  </rfmt>
  <rfmt sheetId="2" sqref="AB90" start="0" length="0">
    <dxf>
      <font>
        <color rgb="FFFF0000"/>
        <name val="Calibri"/>
        <scheme val="minor"/>
      </font>
    </dxf>
  </rfmt>
  <rfmt sheetId="2" sqref="AC90" start="0" length="0">
    <dxf>
      <font>
        <color rgb="FFFF0000"/>
        <name val="Calibri"/>
        <scheme val="minor"/>
      </font>
      <border outline="0">
        <right style="thin">
          <color indexed="64"/>
        </right>
      </border>
    </dxf>
  </rfmt>
  <rfmt sheetId="2" sqref="AB91" start="0" length="0">
    <dxf>
      <font>
        <color rgb="FFFF0000"/>
        <name val="Calibri"/>
        <scheme val="minor"/>
      </font>
    </dxf>
  </rfmt>
  <rfmt sheetId="2" sqref="AC91" start="0" length="0">
    <dxf>
      <font>
        <color rgb="FFFF0000"/>
        <name val="Calibri"/>
        <scheme val="minor"/>
      </font>
      <border outline="0">
        <right style="thin">
          <color indexed="64"/>
        </right>
      </border>
    </dxf>
  </rfmt>
  <rfmt sheetId="2" sqref="AC92" start="0" length="0">
    <dxf>
      <border outline="0">
        <right style="thin">
          <color indexed="64"/>
        </right>
      </border>
    </dxf>
  </rfmt>
  <rfmt sheetId="2" sqref="AB95" start="0" length="0">
    <dxf>
      <font>
        <color rgb="FFFF0000"/>
        <name val="Calibri"/>
        <scheme val="minor"/>
      </font>
      <fill>
        <patternFill patternType="none">
          <bgColor indexed="65"/>
        </patternFill>
      </fill>
    </dxf>
  </rfmt>
  <rfmt sheetId="2" sqref="AC95" start="0" length="0">
    <dxf>
      <font>
        <color rgb="FFFF0000"/>
        <name val="Calibri"/>
        <scheme val="minor"/>
      </font>
      <fill>
        <patternFill patternType="none">
          <bgColor indexed="65"/>
        </patternFill>
      </fill>
      <border outline="0">
        <right style="thin">
          <color indexed="64"/>
        </right>
      </border>
    </dxf>
  </rfmt>
  <rfmt sheetId="2" sqref="AB96" start="0" length="0">
    <dxf>
      <font>
        <color rgb="FFFF0000"/>
        <name val="Calibri"/>
        <scheme val="minor"/>
      </font>
    </dxf>
  </rfmt>
  <rfmt sheetId="2" sqref="AC96" start="0" length="0">
    <dxf>
      <font>
        <color rgb="FFFF0000"/>
        <name val="Calibri"/>
        <scheme val="minor"/>
      </font>
      <border outline="0">
        <right style="thin">
          <color indexed="64"/>
        </right>
      </border>
    </dxf>
  </rfmt>
  <rfmt sheetId="2" sqref="AB104" start="0" length="0">
    <dxf>
      <font>
        <color rgb="FFFF0000"/>
        <name val="Calibri"/>
        <scheme val="minor"/>
      </font>
    </dxf>
  </rfmt>
  <rfmt sheetId="2" sqref="AC104" start="0" length="0">
    <dxf>
      <font>
        <color rgb="FFFF0000"/>
        <name val="Calibri"/>
        <scheme val="minor"/>
      </font>
      <border outline="0">
        <right style="thin">
          <color indexed="64"/>
        </right>
      </border>
    </dxf>
  </rfmt>
  <rfmt sheetId="2" sqref="AB118" start="0" length="0">
    <dxf>
      <font>
        <color rgb="FFFF0000"/>
        <name val="Calibri"/>
        <scheme val="minor"/>
      </font>
    </dxf>
  </rfmt>
  <rfmt sheetId="2" sqref="AC118" start="0" length="0">
    <dxf>
      <font>
        <color rgb="FFFF0000"/>
        <name val="Calibri"/>
        <scheme val="minor"/>
      </font>
      <border outline="0">
        <right style="thin">
          <color indexed="64"/>
        </right>
      </border>
    </dxf>
  </rfmt>
  <rfmt sheetId="2" sqref="AB129" start="0" length="0">
    <dxf>
      <font>
        <color rgb="FFFF0000"/>
        <name val="Calibri"/>
        <scheme val="minor"/>
      </font>
    </dxf>
  </rfmt>
  <rfmt sheetId="2" sqref="AC129" start="0" length="0">
    <dxf>
      <font>
        <color rgb="FFFF0000"/>
        <name val="Calibri"/>
        <scheme val="minor"/>
      </font>
    </dxf>
  </rfmt>
  <rfmt sheetId="2" sqref="AB136" start="0" length="0">
    <dxf>
      <font>
        <color rgb="FFFF0000"/>
        <name val="Calibri"/>
        <scheme val="minor"/>
      </font>
    </dxf>
  </rfmt>
  <rfmt sheetId="2" sqref="AC136" start="0" length="0">
    <dxf>
      <font>
        <color rgb="FFFF0000"/>
        <name val="Calibri"/>
        <scheme val="minor"/>
      </font>
      <border outline="0">
        <right style="thin">
          <color indexed="64"/>
        </right>
      </border>
    </dxf>
  </rfmt>
  <rfmt sheetId="2" sqref="AB145" start="0" length="0">
    <dxf>
      <font>
        <color rgb="FFFF0000"/>
        <name val="Calibri"/>
        <scheme val="minor"/>
      </font>
    </dxf>
  </rfmt>
  <rfmt sheetId="2" sqref="AC145" start="0" length="0">
    <dxf>
      <font>
        <color rgb="FFFF0000"/>
        <name val="Calibri"/>
        <scheme val="minor"/>
      </font>
      <border outline="0">
        <right style="thin">
          <color indexed="64"/>
        </right>
      </border>
    </dxf>
  </rfmt>
  <rfmt sheetId="2" sqref="AB146" start="0" length="0">
    <dxf>
      <font>
        <color rgb="FFFF0000"/>
        <name val="Calibri"/>
        <scheme val="minor"/>
      </font>
    </dxf>
  </rfmt>
  <rfmt sheetId="2" sqref="AC146" start="0" length="0">
    <dxf>
      <font>
        <color rgb="FFFF0000"/>
        <name val="Calibri"/>
        <scheme val="minor"/>
      </font>
      <border outline="0">
        <right style="thin">
          <color indexed="64"/>
        </right>
      </border>
    </dxf>
  </rfmt>
  <rfmt sheetId="2" sqref="AB147" start="0" length="0">
    <dxf>
      <font>
        <color rgb="FFFF0000"/>
        <name val="Calibri"/>
        <scheme val="minor"/>
      </font>
    </dxf>
  </rfmt>
  <rfmt sheetId="2" sqref="AC147" start="0" length="0">
    <dxf>
      <font>
        <color rgb="FFFF0000"/>
        <name val="Calibri"/>
        <scheme val="minor"/>
      </font>
      <border outline="0">
        <right style="thin">
          <color indexed="64"/>
        </right>
      </border>
    </dxf>
  </rfmt>
  <rfmt sheetId="2" sqref="AB148" start="0" length="0">
    <dxf>
      <font>
        <color rgb="FFFF0000"/>
        <name val="Calibri"/>
        <scheme val="minor"/>
      </font>
    </dxf>
  </rfmt>
  <rfmt sheetId="2" sqref="AC148" start="0" length="0">
    <dxf>
      <font>
        <color rgb="FFFF0000"/>
        <name val="Calibri"/>
        <scheme val="minor"/>
      </font>
    </dxf>
  </rfmt>
  <rfmt sheetId="2" sqref="AB149" start="0" length="0">
    <dxf>
      <font>
        <color rgb="FFFF0000"/>
        <name val="Calibri"/>
        <scheme val="minor"/>
      </font>
    </dxf>
  </rfmt>
  <rfmt sheetId="2" sqref="AC149" start="0" length="0">
    <dxf>
      <font>
        <color rgb="FFFF0000"/>
        <name val="Calibri"/>
        <scheme val="minor"/>
      </font>
    </dxf>
  </rfmt>
  <rfmt sheetId="2" sqref="AB150" start="0" length="0">
    <dxf>
      <font>
        <color rgb="FFFF0000"/>
        <name val="Calibri"/>
        <scheme val="minor"/>
      </font>
    </dxf>
  </rfmt>
  <rfmt sheetId="2" sqref="AC150" start="0" length="0">
    <dxf>
      <font>
        <color rgb="FFFF0000"/>
        <name val="Calibri"/>
        <scheme val="minor"/>
      </font>
      <border outline="0">
        <right style="thin">
          <color indexed="64"/>
        </right>
      </border>
    </dxf>
  </rfmt>
  <rfmt sheetId="2" sqref="AB151" start="0" length="0">
    <dxf>
      <font>
        <color rgb="FFFF0000"/>
        <name val="Calibri"/>
        <scheme val="minor"/>
      </font>
    </dxf>
  </rfmt>
  <rfmt sheetId="2" sqref="AC151" start="0" length="0">
    <dxf>
      <font>
        <color rgb="FFFF0000"/>
        <name val="Calibri"/>
        <scheme val="minor"/>
      </font>
      <border outline="0">
        <right style="thin">
          <color indexed="64"/>
        </right>
      </border>
    </dxf>
  </rfmt>
  <rfmt sheetId="2" sqref="AB152" start="0" length="0">
    <dxf>
      <font>
        <color rgb="FFFF0000"/>
        <name val="Calibri"/>
        <scheme val="minor"/>
      </font>
    </dxf>
  </rfmt>
  <rfmt sheetId="2" sqref="AC152" start="0" length="0">
    <dxf>
      <font>
        <color rgb="FFFF0000"/>
        <name val="Calibri"/>
        <scheme val="minor"/>
      </font>
    </dxf>
  </rfmt>
  <rfmt sheetId="2" sqref="AB153" start="0" length="0">
    <dxf>
      <font>
        <color rgb="FFFF0000"/>
        <name val="Calibri"/>
        <scheme val="minor"/>
      </font>
    </dxf>
  </rfmt>
  <rfmt sheetId="2" sqref="AC153" start="0" length="0">
    <dxf>
      <font>
        <color rgb="FFFF0000"/>
        <name val="Calibri"/>
        <scheme val="minor"/>
      </font>
    </dxf>
  </rfmt>
  <rfmt sheetId="2" sqref="AB154" start="0" length="0">
    <dxf>
      <font>
        <color rgb="FFFF0000"/>
        <name val="Calibri"/>
        <scheme val="minor"/>
      </font>
    </dxf>
  </rfmt>
  <rfmt sheetId="2" sqref="AC154" start="0" length="0">
    <dxf>
      <font>
        <color rgb="FFFF0000"/>
        <name val="Calibri"/>
        <scheme val="minor"/>
      </font>
    </dxf>
  </rfmt>
  <rfmt sheetId="2" sqref="AB155" start="0" length="0">
    <dxf>
      <font>
        <color rgb="FFFF0000"/>
        <name val="Calibri"/>
        <scheme val="minor"/>
      </font>
    </dxf>
  </rfmt>
  <rfmt sheetId="2" sqref="AC155" start="0" length="0">
    <dxf>
      <font>
        <color rgb="FFFF0000"/>
        <name val="Calibri"/>
        <scheme val="minor"/>
      </font>
    </dxf>
  </rfmt>
  <rfmt sheetId="2" sqref="AB156" start="0" length="0">
    <dxf>
      <font>
        <color rgb="FFFF0000"/>
        <name val="Calibri"/>
        <scheme val="minor"/>
      </font>
    </dxf>
  </rfmt>
  <rfmt sheetId="2" sqref="AC156" start="0" length="0">
    <dxf>
      <font>
        <color rgb="FFFF0000"/>
        <name val="Calibri"/>
        <scheme val="minor"/>
      </font>
    </dxf>
  </rfmt>
  <rfmt sheetId="2" sqref="AB157" start="0" length="0">
    <dxf>
      <font>
        <color rgb="FFFF0000"/>
        <name val="Calibri"/>
        <scheme val="minor"/>
      </font>
    </dxf>
  </rfmt>
  <rfmt sheetId="2" sqref="AC157" start="0" length="0">
    <dxf>
      <font>
        <color rgb="FFFF0000"/>
        <name val="Calibri"/>
        <scheme val="minor"/>
      </font>
    </dxf>
  </rfmt>
  <rfmt sheetId="2" sqref="AB158" start="0" length="0">
    <dxf>
      <font>
        <color rgb="FFFF0000"/>
        <name val="Calibri"/>
        <scheme val="minor"/>
      </font>
    </dxf>
  </rfmt>
  <rfmt sheetId="2" sqref="AC158" start="0" length="0">
    <dxf>
      <font>
        <color rgb="FFFF0000"/>
        <name val="Calibri"/>
        <scheme val="minor"/>
      </font>
    </dxf>
  </rfmt>
  <rfmt sheetId="2" sqref="AB159" start="0" length="0">
    <dxf>
      <font>
        <color rgb="FFFF0000"/>
        <name val="Calibri"/>
        <scheme val="minor"/>
      </font>
    </dxf>
  </rfmt>
  <rfmt sheetId="2" sqref="AC159" start="0" length="0">
    <dxf>
      <font>
        <color rgb="FFFF0000"/>
        <name val="Calibri"/>
        <scheme val="minor"/>
      </font>
    </dxf>
  </rfmt>
  <rfmt sheetId="2" sqref="AB160" start="0" length="0">
    <dxf>
      <font>
        <color rgb="FFFF0000"/>
        <name val="Calibri"/>
        <scheme val="minor"/>
      </font>
    </dxf>
  </rfmt>
  <rfmt sheetId="2" sqref="AC160" start="0" length="0">
    <dxf>
      <font>
        <color rgb="FFFF0000"/>
        <name val="Calibri"/>
        <scheme val="minor"/>
      </font>
      <border outline="0">
        <right style="thin">
          <color indexed="64"/>
        </right>
      </border>
    </dxf>
  </rfmt>
  <rfmt sheetId="2" sqref="AB161" start="0" length="0">
    <dxf>
      <font>
        <color rgb="FFFF0000"/>
        <name val="Calibri"/>
        <scheme val="minor"/>
      </font>
    </dxf>
  </rfmt>
  <rfmt sheetId="2" sqref="AC161" start="0" length="0">
    <dxf>
      <font>
        <color rgb="FFFF0000"/>
        <name val="Calibri"/>
        <scheme val="minor"/>
      </font>
      <border outline="0">
        <right style="thin">
          <color indexed="64"/>
        </right>
      </border>
    </dxf>
  </rfmt>
  <rfmt sheetId="2" sqref="AB162" start="0" length="0">
    <dxf>
      <font>
        <color rgb="FFFF0000"/>
        <name val="Calibri"/>
        <scheme val="minor"/>
      </font>
    </dxf>
  </rfmt>
  <rfmt sheetId="2" sqref="AC162" start="0" length="0">
    <dxf>
      <font>
        <color rgb="FFFF0000"/>
        <name val="Calibri"/>
        <scheme val="minor"/>
      </font>
      <border outline="0">
        <right style="thin">
          <color indexed="64"/>
        </right>
      </border>
    </dxf>
  </rfmt>
  <rfmt sheetId="2" sqref="AB163" start="0" length="0">
    <dxf>
      <font>
        <color rgb="FFFF0000"/>
        <name val="Calibri"/>
        <scheme val="minor"/>
      </font>
    </dxf>
  </rfmt>
  <rfmt sheetId="2" sqref="AC163" start="0" length="0">
    <dxf>
      <font>
        <color rgb="FFFF0000"/>
        <name val="Calibri"/>
        <scheme val="minor"/>
      </font>
      <border outline="0">
        <right style="thin">
          <color indexed="64"/>
        </right>
      </border>
    </dxf>
  </rfmt>
  <rfmt sheetId="2" sqref="AB164" start="0" length="0">
    <dxf>
      <font>
        <color rgb="FFFF0000"/>
        <name val="Calibri"/>
        <scheme val="minor"/>
      </font>
    </dxf>
  </rfmt>
  <rfmt sheetId="2" sqref="AC164" start="0" length="0">
    <dxf>
      <font>
        <color rgb="FFFF0000"/>
        <name val="Calibri"/>
        <scheme val="minor"/>
      </font>
      <border outline="0">
        <right style="thin">
          <color indexed="64"/>
        </right>
      </border>
    </dxf>
  </rfmt>
  <rfmt sheetId="2" sqref="AB165" start="0" length="0">
    <dxf>
      <font>
        <color rgb="FFFF0000"/>
        <name val="Calibri"/>
        <scheme val="minor"/>
      </font>
    </dxf>
  </rfmt>
  <rfmt sheetId="2" sqref="AC165" start="0" length="0">
    <dxf>
      <font>
        <color rgb="FFFF0000"/>
        <name val="Calibri"/>
        <scheme val="minor"/>
      </font>
      <border outline="0">
        <right style="thin">
          <color indexed="64"/>
        </right>
      </border>
    </dxf>
  </rfmt>
  <rfmt sheetId="2" sqref="AB167" start="0" length="0">
    <dxf>
      <font>
        <color rgb="FFFF0000"/>
        <name val="Calibri"/>
        <scheme val="minor"/>
      </font>
    </dxf>
  </rfmt>
  <rfmt sheetId="2" sqref="AC167" start="0" length="0">
    <dxf>
      <font>
        <color rgb="FFFF0000"/>
        <name val="Calibri"/>
        <scheme val="minor"/>
      </font>
      <border outline="0">
        <right style="thin">
          <color indexed="64"/>
        </right>
      </border>
    </dxf>
  </rfmt>
  <rcc rId="3267" sId="2">
    <oc r="AB168">
      <f>27947.15+77597.56+1913.89+2172.59</f>
    </oc>
    <nc r="AB168">
      <f>27947.15+77597.56+1913.89+2172.59</f>
    </nc>
  </rcc>
  <rcc rId="3268" sId="2">
    <oc r="AC168">
      <f>4931.85+13693.69+337.75+383.4</f>
    </oc>
    <nc r="AC168">
      <f>4931.85+13693.69+337.75+383.4</f>
    </nc>
  </rcc>
  <rfmt sheetId="2" sqref="AC169" start="0" length="0">
    <dxf>
      <border outline="0">
        <right style="thin">
          <color indexed="64"/>
        </right>
      </border>
    </dxf>
  </rfmt>
  <rfmt sheetId="2" sqref="AB170" start="0" length="0">
    <dxf>
      <font>
        <color rgb="FFFF0000"/>
        <name val="Calibri"/>
        <scheme val="minor"/>
      </font>
    </dxf>
  </rfmt>
  <rfmt sheetId="2" sqref="AC170" start="0" length="0">
    <dxf>
      <font>
        <color rgb="FFFF0000"/>
        <name val="Calibri"/>
        <scheme val="minor"/>
      </font>
    </dxf>
  </rfmt>
  <rfmt sheetId="2" sqref="AB171" start="0" length="0">
    <dxf>
      <font>
        <color rgb="FFFF0000"/>
        <name val="Calibri"/>
        <scheme val="minor"/>
      </font>
    </dxf>
  </rfmt>
  <rfmt sheetId="2" sqref="AC171" start="0" length="0">
    <dxf>
      <font>
        <color rgb="FFFF0000"/>
        <name val="Calibri"/>
        <scheme val="minor"/>
      </font>
    </dxf>
  </rfmt>
  <rfmt sheetId="2" sqref="AB173" start="0" length="0">
    <dxf>
      <font>
        <color rgb="FFFF0000"/>
        <name val="Calibri"/>
        <scheme val="minor"/>
      </font>
    </dxf>
  </rfmt>
  <rfmt sheetId="2" sqref="AC173" start="0" length="0">
    <dxf>
      <font>
        <color rgb="FFFF0000"/>
        <name val="Calibri"/>
        <scheme val="minor"/>
      </font>
      <border outline="0">
        <right style="thin">
          <color indexed="64"/>
        </right>
      </border>
    </dxf>
  </rfmt>
  <rfmt sheetId="2" sqref="AB174" start="0" length="0">
    <dxf>
      <font>
        <color rgb="FFFF0000"/>
        <name val="Calibri"/>
        <scheme val="minor"/>
      </font>
    </dxf>
  </rfmt>
  <rfmt sheetId="2" sqref="AC174" start="0" length="0">
    <dxf>
      <font>
        <color rgb="FFFF0000"/>
        <name val="Calibri"/>
        <scheme val="minor"/>
      </font>
      <border outline="0">
        <right style="thin">
          <color indexed="64"/>
        </right>
      </border>
    </dxf>
  </rfmt>
  <rcc rId="3269" sId="2" odxf="1" s="1" dxf="1" numFmtId="4">
    <nc r="AB192">
      <v>0</v>
    </nc>
    <ndxf>
      <font>
        <sz val="10"/>
        <color auto="1"/>
        <name val="Calibri"/>
        <scheme val="minor"/>
      </font>
      <numFmt numFmtId="4" formatCode="#,##0.00"/>
      <fill>
        <patternFill patternType="none">
          <bgColor indexed="65"/>
        </patternFill>
      </fill>
      <alignment vertical="center" readingOrder="0"/>
      <border outline="0">
        <top/>
      </border>
    </ndxf>
  </rcc>
  <rcc rId="3270" sId="2" odxf="1" s="1" dxf="1" numFmtId="4">
    <nc r="AC192">
      <v>0</v>
    </nc>
    <odxf>
      <font>
        <b/>
        <i val="0"/>
        <strike val="0"/>
        <condense val="0"/>
        <extend val="0"/>
        <outline val="0"/>
        <shadow val="0"/>
        <u val="none"/>
        <vertAlign val="baseline"/>
        <sz val="10"/>
        <color rgb="FF444444"/>
        <name val="Calibri"/>
        <scheme val="minor"/>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Calibri"/>
        <scheme val="minor"/>
      </font>
      <numFmt numFmtId="4" formatCode="#,##0.00"/>
      <fill>
        <patternFill patternType="none">
          <bgColor indexed="65"/>
        </patternFill>
      </fill>
      <alignment vertical="center" readingOrder="0"/>
      <border outline="0">
        <top/>
      </border>
    </ndxf>
  </rcc>
  <rcc rId="3271" sId="2" odxf="1" s="1" dxf="1" numFmtId="4">
    <nc r="AB194">
      <v>0</v>
    </nc>
    <o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odxf>
    <ndxf>
      <numFmt numFmtId="4" formatCode="#,##0.00"/>
      <border outline="0">
        <top/>
        <bottom style="thin">
          <color indexed="64"/>
        </bottom>
      </border>
    </ndxf>
  </rcc>
  <rcc rId="3272" sId="2" odxf="1" s="1" dxf="1" numFmtId="4">
    <nc r="AC194">
      <v>0</v>
    </nc>
    <o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odxf>
    <ndxf>
      <numFmt numFmtId="4" formatCode="#,##0.00"/>
      <border outline="0">
        <top/>
        <bottom style="thin">
          <color indexed="64"/>
        </bottom>
      </border>
    </ndxf>
  </rcc>
  <rcc rId="3273" sId="2" odxf="1" s="1" dxf="1" numFmtId="4">
    <nc r="AB195">
      <v>0</v>
    </nc>
    <o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odxf>
    <ndxf>
      <numFmt numFmtId="4" formatCode="#,##0.00"/>
      <border outline="0">
        <top/>
        <bottom style="thin">
          <color indexed="64"/>
        </bottom>
      </border>
    </ndxf>
  </rcc>
  <rcc rId="3274" sId="2" odxf="1" s="1" dxf="1" numFmtId="4">
    <nc r="AC195">
      <v>0</v>
    </nc>
    <o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odxf>
    <ndxf>
      <numFmt numFmtId="4" formatCode="#,##0.00"/>
      <border outline="0">
        <top/>
        <bottom style="thin">
          <color indexed="64"/>
        </bottom>
      </border>
    </ndxf>
  </rcc>
  <rcc rId="3275" sId="2" odxf="1" s="1" dxf="1" numFmtId="4">
    <nc r="AB196">
      <v>0</v>
    </nc>
    <o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odxf>
    <ndxf>
      <numFmt numFmtId="4" formatCode="#,##0.00"/>
      <border outline="0">
        <top/>
        <bottom style="thin">
          <color indexed="64"/>
        </bottom>
      </border>
    </ndxf>
  </rcc>
  <rcc rId="3276" sId="2" odxf="1" s="1" dxf="1" numFmtId="4">
    <nc r="AC196">
      <v>0</v>
    </nc>
    <odxf>
      <font>
        <b/>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odxf>
    <ndxf>
      <numFmt numFmtId="4" formatCode="#,##0.00"/>
      <border outline="0">
        <top/>
        <bottom style="thin">
          <color indexed="64"/>
        </bottom>
      </border>
    </ndxf>
  </rcc>
  <rcc rId="3277" sId="2" odxf="1" s="1" dxf="1" numFmtId="4">
    <nc r="AB185">
      <v>0</v>
    </nc>
    <odxf>
      <font>
        <b/>
        <i val="0"/>
        <strike val="0"/>
        <condense val="0"/>
        <extend val="0"/>
        <outline val="0"/>
        <shadow val="0"/>
        <u val="none"/>
        <vertAlign val="baseline"/>
        <sz val="10"/>
        <color auto="1"/>
        <name val="Calibri"/>
        <scheme val="minor"/>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ill>
        <patternFill patternType="none">
          <bgColor indexed="65"/>
        </patternFill>
      </fill>
      <border outline="0">
        <top/>
      </border>
    </ndxf>
  </rcc>
  <rcc rId="3278" sId="2" odxf="1" s="1" dxf="1" numFmtId="4">
    <nc r="AC185">
      <v>0</v>
    </nc>
    <odxf>
      <font>
        <b/>
        <i val="0"/>
        <strike val="0"/>
        <condense val="0"/>
        <extend val="0"/>
        <outline val="0"/>
        <shadow val="0"/>
        <u val="none"/>
        <vertAlign val="baseline"/>
        <sz val="10"/>
        <color auto="1"/>
        <name val="Calibri"/>
        <scheme val="minor"/>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ill>
        <patternFill patternType="none">
          <bgColor indexed="65"/>
        </patternFill>
      </fill>
      <border outline="0">
        <top/>
      </border>
    </ndxf>
  </rcc>
  <rcc rId="3279" sId="2" numFmtId="4">
    <nc r="AB177">
      <v>0</v>
    </nc>
  </rcc>
  <rcc rId="3280" sId="2" odxf="1" dxf="1" numFmtId="4">
    <nc r="AC177">
      <v>0</v>
    </nc>
    <odxf>
      <border outline="0">
        <right style="medium">
          <color indexed="64"/>
        </right>
      </border>
    </odxf>
    <ndxf>
      <border outline="0">
        <right style="thin">
          <color indexed="64"/>
        </right>
      </border>
    </ndxf>
  </rcc>
  <rcc rId="3281" sId="2" numFmtId="4">
    <nc r="AB140">
      <v>0</v>
    </nc>
  </rcc>
  <rcc rId="3282" sId="2" numFmtId="4">
    <nc r="AB141">
      <v>0</v>
    </nc>
  </rcc>
  <rcc rId="3283" sId="2" odxf="1" dxf="1" numFmtId="4">
    <nc r="AC140">
      <v>0</v>
    </nc>
    <odxf>
      <border outline="0">
        <right style="medium">
          <color indexed="64"/>
        </right>
      </border>
    </odxf>
    <ndxf>
      <border outline="0">
        <right style="thin">
          <color indexed="64"/>
        </right>
      </border>
    </ndxf>
  </rcc>
  <rcc rId="3284" sId="2" odxf="1" dxf="1" numFmtId="4">
    <nc r="AC141">
      <v>0</v>
    </nc>
    <odxf>
      <border outline="0">
        <right style="medium">
          <color indexed="64"/>
        </right>
      </border>
    </odxf>
    <ndxf>
      <border outline="0">
        <right style="thin">
          <color indexed="64"/>
        </right>
      </border>
    </ndxf>
  </rcc>
  <rfmt sheetId="2" sqref="AB111" start="0" length="0">
    <dxf>
      <font>
        <color rgb="FFFF0000"/>
        <name val="Calibri"/>
        <scheme val="minor"/>
      </font>
    </dxf>
  </rfmt>
  <rfmt sheetId="2" sqref="AC111" start="0" length="0">
    <dxf>
      <font>
        <color rgb="FFFF0000"/>
        <name val="Calibri"/>
        <scheme val="minor"/>
      </font>
      <border outline="0">
        <right style="thin">
          <color indexed="64"/>
        </right>
      </border>
    </dxf>
  </rfmt>
  <rcc rId="3285" sId="2" numFmtId="34">
    <oc r="AD21">
      <v>1431259532.0599999</v>
    </oc>
    <nc r="AD21"/>
  </rcc>
  <rcc rId="3286" sId="2" numFmtId="34">
    <oc r="AE21">
      <v>477086510.64999998</v>
    </oc>
    <nc r="AE21"/>
  </rcc>
  <rcc rId="3287" sId="2" numFmtId="34">
    <oc r="AD26">
      <v>581433251.87999988</v>
    </oc>
    <nc r="AD26"/>
  </rcc>
  <rcc rId="3288" sId="2" numFmtId="34">
    <oc r="AE27">
      <v>193811083.93999997</v>
    </oc>
    <nc r="AE27"/>
  </rcc>
  <rcc rId="3289" sId="2" numFmtId="34">
    <oc r="AE26">
      <v>193811083.93999997</v>
    </oc>
    <nc r="AE26"/>
  </rcc>
  <rcc rId="3290" sId="2" numFmtId="34">
    <oc r="AD27">
      <v>581433251.87999988</v>
    </oc>
    <nc r="AD27"/>
  </rcc>
  <rcc rId="3291" sId="2">
    <oc r="AD75">
      <f>+AB75-256173748.76</f>
    </oc>
    <nc r="AD75"/>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08ABD1B6_502E_42CC_A0EF_58776D0102FE_.wvu.FilterData" hidden="1" oldHidden="1">
    <formula>'Contracte semnate'!$B$7:$AF$203</formula>
  </rdn>
  <rcv guid="{08ABD1B6-502E-42CC-A0EF-58776D0102FE}"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68" sId="2">
    <nc r="R6">
      <f>+R20/4.6</f>
    </nc>
  </rcc>
  <rfmt sheetId="2" sqref="R6">
    <dxf>
      <numFmt numFmtId="35" formatCode="_-* #,##0.00\ _l_e_i_-;\-* #,##0.00\ _l_e_i_-;_-* &quot;-&quot;??\ _l_e_i_-;_-@_-"/>
    </dxf>
  </rfmt>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69" sId="2">
    <oc r="C8" t="inlineStr">
      <is>
        <t>cut-off- date 31.12.2017</t>
      </is>
    </oc>
    <nc r="C8" t="inlineStr">
      <is>
        <t>cut-off- date 15.01.2018</t>
      </is>
    </nc>
  </rcc>
  <rcc rId="3070" sId="2">
    <oc r="H7">
      <v>4.6440000000000001</v>
    </oc>
    <nc r="H7">
      <v>4.6520000000000001</v>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Cols" hidden="1" oldHidden="1">
    <formula>'Contracte semnate'!$D:$D,'Contracte semnate'!$F:$AA</formula>
  </rdn>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75" sId="2" numFmtId="4">
    <oc r="AB64">
      <v>7544544.5999999996</v>
    </oc>
    <nc r="AB64">
      <v>8404842.7300000004</v>
    </nc>
  </rcc>
  <rcc rId="3076" sId="2" numFmtId="4">
    <oc r="AC64">
      <v>1153871.52</v>
    </oc>
    <nc r="AC64">
      <v>1285446.53</v>
    </nc>
  </rcc>
  <rfmt sheetId="2" sqref="AB64:AC64">
    <dxf>
      <fill>
        <patternFill>
          <bgColor rgb="FFFFFF00"/>
        </patternFill>
      </fill>
    </dxf>
  </rfmt>
  <rcc rId="3077" sId="2" numFmtId="4">
    <oc r="AB68">
      <v>65524.53</v>
    </oc>
    <nc r="AB68">
      <v>2712094.6599999997</v>
    </nc>
  </rcc>
  <rcc rId="3078" sId="2" numFmtId="4">
    <oc r="AC68">
      <v>10021.4</v>
    </oc>
    <nc r="AC68">
      <v>414790.95</v>
    </nc>
  </rcc>
  <rfmt sheetId="2" sqref="AB68:AC68">
    <dxf>
      <fill>
        <patternFill patternType="solid">
          <bgColor rgb="FFFFFF00"/>
        </patternFill>
      </fill>
    </dxf>
  </rfmt>
  <rcc rId="3079" sId="2" numFmtId="4">
    <oc r="AB71">
      <v>0</v>
    </oc>
    <nc r="AB71">
      <v>10065348.939999999</v>
    </nc>
  </rcc>
  <rcc rId="3080" sId="2" numFmtId="4">
    <oc r="AC71">
      <v>0</v>
    </oc>
    <nc r="AC71">
      <v>1539406.31</v>
    </nc>
  </rcc>
  <rcc rId="3081" sId="2" odxf="1" dxf="1">
    <nc r="AD75">
      <f>+AB75-256173748.76</f>
    </nc>
    <odxf>
      <numFmt numFmtId="0" formatCode="General"/>
    </odxf>
    <ndxf>
      <numFmt numFmtId="4" formatCode="#,##0.00"/>
    </ndxf>
  </rcc>
  <rfmt sheetId="2" sqref="AB71:AC71">
    <dxf>
      <fill>
        <patternFill patternType="solid">
          <bgColor rgb="FFFFFF00"/>
        </patternFill>
      </fill>
    </dxf>
  </rfmt>
  <rcc rId="3082" sId="2" numFmtId="4">
    <oc r="AB61">
      <v>3274522.08</v>
    </oc>
    <nc r="AB61">
      <v>3277525.4</v>
    </nc>
  </rcc>
  <rcc rId="3083" sId="2" numFmtId="4">
    <oc r="AC61">
      <v>500809.25999999995</v>
    </oc>
    <nc r="AC61">
      <v>501268.58999999997</v>
    </nc>
  </rcc>
  <rfmt sheetId="2" sqref="AB71:AC71">
    <dxf>
      <fill>
        <patternFill>
          <bgColor theme="0"/>
        </patternFill>
      </fill>
    </dxf>
  </rfmt>
  <rfmt sheetId="2" sqref="AB68:AC68">
    <dxf>
      <fill>
        <patternFill>
          <bgColor theme="0"/>
        </patternFill>
      </fill>
    </dxf>
  </rfmt>
  <rfmt sheetId="2" sqref="AB64:AC64">
    <dxf>
      <fill>
        <patternFill>
          <bgColor theme="0"/>
        </patternFill>
      </fill>
    </dxf>
  </rfmt>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84" sId="2" numFmtId="4">
    <oc r="AB77">
      <v>45074578.550000004</v>
    </oc>
    <nc r="AB77">
      <v>45385935.880000003</v>
    </nc>
  </rcc>
  <rcc rId="3085" sId="2" numFmtId="4">
    <oc r="AC77">
      <v>6893759.0600000005</v>
    </oc>
    <nc r="AC77">
      <v>6941378.4200000009</v>
    </nc>
  </rcc>
  <rcc rId="3086" sId="2" numFmtId="4">
    <oc r="AB79">
      <f>3365772.47+49985.43+64044.38+40852.77+44030+648.27</f>
    </oc>
    <nc r="AB79">
      <v>3565333.3200000003</v>
    </nc>
  </rcc>
  <rcc rId="3087" sId="2" numFmtId="4">
    <oc r="AC79">
      <f>514765.2+7644.83+9795.02+6248.07+6734+99.15</f>
    </oc>
    <nc r="AC79">
      <v>545286.27</v>
    </nc>
  </rcc>
  <rcc rId="3088" sId="2" numFmtId="4">
    <oc r="AB80">
      <v>48561138.829999998</v>
    </oc>
    <nc r="AB80">
      <v>50739504.659999996</v>
    </nc>
  </rcc>
  <rcc rId="3089" sId="2" numFmtId="4">
    <oc r="AC80">
      <v>7426997.7199999997</v>
    </oc>
    <nc r="AC80">
      <v>7760159.5499999998</v>
    </nc>
  </rcc>
  <rcc rId="3090" sId="2" numFmtId="4">
    <oc r="AB81">
      <v>47863254.340000004</v>
    </oc>
    <nc r="AB81">
      <v>50877196.260000005</v>
    </nc>
  </rcc>
  <rcc rId="3091" sId="2" numFmtId="4">
    <oc r="AC81">
      <v>7320316.4199999999</v>
    </oc>
    <nc r="AC81">
      <v>7781272.2400000002</v>
    </nc>
  </rcc>
  <rcc rId="3092" sId="2" numFmtId="4">
    <oc r="AB82">
      <v>60533032.530000009</v>
    </oc>
    <nc r="AB82">
      <v>60860605.070000008</v>
    </nc>
  </rcc>
  <rcc rId="3093" sId="2" numFmtId="4">
    <oc r="AC82">
      <v>9257993.1899999995</v>
    </oc>
    <nc r="AC82">
      <v>9308092.5199999996</v>
    </nc>
  </rcc>
  <rcc rId="3094" sId="2" numFmtId="4">
    <oc r="AB87">
      <f>28151207.12+1510054.3+1288615.36+1018137.43+1268633.31+2125277.44+1739914.78</f>
    </oc>
    <nc r="AB87">
      <v>38590702.080000006</v>
    </nc>
  </rcc>
  <rcc rId="3095" sId="2" numFmtId="4">
    <oc r="AC87">
      <f>4305478.74+230949.48+197082.35+155715.13+194026.27+325042.43+266104.61</f>
    </oc>
    <nc r="AC87">
      <v>5902107.3700000001</v>
    </nc>
  </rcc>
  <rcc rId="3096" sId="2" numFmtId="4">
    <oc r="AB96">
      <v>1596325.08</v>
    </oc>
    <nc r="AB96">
      <v>3753516.2600000002</v>
    </nc>
  </rcc>
  <rcc rId="3097" sId="2" numFmtId="4">
    <oc r="AC96">
      <v>262924.14</v>
    </oc>
    <nc r="AC96">
      <v>618226.22</v>
    </nc>
  </rcc>
  <rcc rId="3098" sId="2" numFmtId="4">
    <oc r="AB120">
      <f>3379061.6+2295067.95+155398.39</f>
    </oc>
    <nc r="AB120">
      <v>5829527.9400000004</v>
    </nc>
  </rcc>
  <rcc rId="3099" sId="2" numFmtId="4">
    <oc r="AC120">
      <f>516797.66+351010.39+23766.81</f>
    </oc>
    <nc r="AC120">
      <v>891574.8600000001</v>
    </nc>
  </rcc>
  <rcc rId="3100" sId="2" numFmtId="4">
    <oc r="AB127">
      <f>426433.03+103052.23+181560.91</f>
    </oc>
    <nc r="AB127">
      <v>1041573.05</v>
    </nc>
  </rcc>
  <rcc rId="3101" sId="2" numFmtId="4">
    <oc r="AC127">
      <f>70236.03+16973.31+29904.15</f>
    </oc>
    <nc r="AC127">
      <v>171553.21</v>
    </nc>
  </rcc>
  <rcc rId="3102" sId="2" numFmtId="4">
    <oc r="AB132">
      <v>0</v>
    </oc>
    <nc r="AB132">
      <v>1853285.5</v>
    </nc>
  </rcc>
  <rcc rId="3103" sId="2" numFmtId="4">
    <oc r="AC132">
      <v>0</v>
    </oc>
    <nc r="AC132">
      <v>283443.67</v>
    </nc>
  </rcc>
  <rcc rId="3104" sId="2" numFmtId="4">
    <oc r="AB145">
      <v>307721.38999999996</v>
    </oc>
    <nc r="AB145">
      <v>308026.90999999997</v>
    </nc>
  </rcc>
  <rcc rId="3105" sId="2" numFmtId="4">
    <oc r="AC145">
      <v>54303.78</v>
    </oc>
    <nc r="AC145">
      <v>54357.7</v>
    </nc>
  </rcc>
  <rcc rId="3106" sId="2" numFmtId="4">
    <oc r="AB147">
      <v>173602.3</v>
    </oc>
    <nc r="AB147">
      <v>227755.8</v>
    </nc>
  </rcc>
  <rcc rId="3107" sId="2" numFmtId="4">
    <oc r="AC147">
      <v>30635.7</v>
    </oc>
    <nc r="AC147">
      <v>40192.199999999997</v>
    </nc>
  </rcc>
  <rcc rId="3108" sId="2" numFmtId="4">
    <oc r="AB148">
      <v>545132.92000000004</v>
    </oc>
    <nc r="AB148">
      <v>622780.72000000009</v>
    </nc>
  </rcc>
  <rcc rId="3109" sId="2" numFmtId="4">
    <oc r="AC148">
      <v>96199.920000000013</v>
    </oc>
    <nc r="AC148">
      <v>109902.47000000002</v>
    </nc>
  </rcc>
  <rcc rId="3110" sId="2" numFmtId="4">
    <oc r="AB149">
      <f>28243.8+149527.75+2731.9+76917.49+4260.64+164901.7+21025.59+7953.45</f>
    </oc>
    <nc r="AB149">
      <v>455562.32000000007</v>
    </nc>
  </rcc>
  <rcc rId="3111" sId="2" numFmtId="4">
    <oc r="AC149">
      <f>4984.2+26387.25+482.1+13573.68+751.88+29100.3+3710.4+1403.55</f>
    </oc>
    <nc r="AC149">
      <v>80393.359999999986</v>
    </nc>
  </rcc>
  <rcc rId="3112" sId="2" numFmtId="4">
    <oc r="AB152">
      <f>47812.5+24320.2+14371.8+22097.45+12160.1</f>
    </oc>
    <nc r="AB152">
      <v>153635.79999999999</v>
    </nc>
  </rcc>
  <rcc rId="3113" sId="2" numFmtId="4">
    <oc r="AC152">
      <f>8437.5+4291.8+2536.2+3899.55+2145.9</f>
    </oc>
    <nc r="AC152">
      <v>27112.2</v>
    </nc>
  </rcc>
  <rcc rId="3114" sId="2" numFmtId="4">
    <oc r="AB153">
      <f>93500+42304.5+42304.5+2405.41+46283.68</f>
    </oc>
    <nc r="AB153">
      <v>274222.99</v>
    </nc>
  </rcc>
  <rcc rId="3115" sId="2" numFmtId="4">
    <oc r="AC153">
      <f>16500+7465.5+7465.5+424.48+8167.71</f>
    </oc>
    <nc r="AC153">
      <v>48392.29</v>
    </nc>
  </rcc>
  <rcc rId="3116" sId="2" numFmtId="4">
    <oc r="AB154">
      <f>50733.1+197243.35+50524.76+391964.75</f>
    </oc>
    <nc r="AB154">
      <v>690465.96</v>
    </nc>
  </rcc>
  <rcc rId="3117" sId="2" numFmtId="4">
    <oc r="AC154">
      <f>8952.9+34807.65+8916.14+69170.25</f>
    </oc>
    <nc r="AC154">
      <v>121846.94</v>
    </nc>
  </rcc>
  <rcc rId="3118" sId="2" numFmtId="4">
    <oc r="AB155">
      <v>511583.43000000005</v>
    </oc>
    <nc r="AB155">
      <v>515213.94000000006</v>
    </nc>
  </rcc>
  <rcc rId="3119" sId="2" numFmtId="4">
    <oc r="AC155">
      <v>90279.44</v>
    </oc>
    <nc r="AC155">
      <v>90920.12</v>
    </nc>
  </rcc>
  <rcc rId="3120" sId="2" numFmtId="4">
    <oc r="AB157">
      <f>109758.8+160614.3+373128.75+96673.36</f>
    </oc>
    <nc r="AB157">
      <v>740175.21</v>
    </nc>
  </rcc>
  <rcc rId="3121" sId="2" numFmtId="4">
    <oc r="AC157">
      <f>19369.2+28343.7+65846.25+17060.01</f>
    </oc>
    <nc r="AC157">
      <v>130619.15999999999</v>
    </nc>
  </rcc>
  <rcc rId="3122" sId="2" numFmtId="4">
    <oc r="AB158">
      <f>93500+36663.9+42304.5+5822.5+46283.68</f>
    </oc>
    <nc r="AB158">
      <v>265411.98</v>
    </nc>
  </rcc>
  <rcc rId="3123" sId="2" numFmtId="4">
    <oc r="AC158">
      <f>16500+6470.1+7465.5+1027.5+8167.71</f>
    </oc>
    <nc r="AC158">
      <v>46837.409999999996</v>
    </nc>
  </rcc>
  <rcc rId="3124" sId="2" numFmtId="4">
    <oc r="AB159">
      <f>70578.9+8810.25</f>
    </oc>
    <nc r="AB159">
      <v>237074.21</v>
    </nc>
  </rcc>
  <rcc rId="3125" sId="2" numFmtId="4">
    <oc r="AC159">
      <f>12455.1+1554.75</f>
    </oc>
    <nc r="AC159">
      <v>41836.620000000003</v>
    </nc>
  </rcc>
  <rcc rId="3126" sId="2" numFmtId="4">
    <oc r="AB160">
      <v>10562.1</v>
    </oc>
    <nc r="AB160">
      <v>19992</v>
    </nc>
  </rcc>
  <rcc rId="3127" sId="2" numFmtId="4">
    <oc r="AC160">
      <v>1863.9</v>
    </oc>
    <nc r="AC160">
      <v>3528</v>
    </nc>
  </rcc>
  <rcc rId="3128" sId="2" numFmtId="4">
    <oc r="AB167">
      <v>289384.48</v>
    </oc>
    <nc r="AB167">
      <v>334675.39999999997</v>
    </nc>
  </rcc>
  <rcc rId="3129" sId="2" numFmtId="4">
    <oc r="AC167">
      <v>51067.850000000006</v>
    </oc>
    <nc r="AC167">
      <v>59060.37000000001</v>
    </nc>
  </rcc>
  <rcc rId="3130" sId="2" numFmtId="4">
    <oc r="AB174">
      <v>0</v>
    </oc>
    <nc r="AB174">
      <v>50122.8</v>
    </nc>
  </rcc>
  <rcc rId="3131" sId="2" numFmtId="4">
    <oc r="AC174">
      <v>0</v>
    </oc>
    <nc r="AC174">
      <v>8845.2000000000007</v>
    </nc>
  </rcc>
  <rcc rId="3132" sId="2" numFmtId="4">
    <oc r="AB176">
      <v>0</v>
    </oc>
    <nc r="AB176">
      <v>12349.65</v>
    </nc>
  </rcc>
  <rcc rId="3133" sId="2" numFmtId="4">
    <oc r="AC176">
      <v>0</v>
    </oc>
    <nc r="AC176">
      <v>2179.35</v>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F4C96D22_891C_4B3C_B57B_7878195B2E7E_.wvu.Cols" hidden="1" oldHidden="1">
    <oldFormula>'Contracte semnate'!$D:$D,'Contracte semnate'!$F:$AA</oldFormula>
  </rdn>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36" sId="2">
    <nc r="AB206">
      <f>+AB203+AC203</f>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B208" start="0" length="2147483647">
    <dxf>
      <font>
        <color auto="1"/>
      </font>
    </dxf>
  </rfmt>
  <rfmt sheetId="2" sqref="AB208">
    <dxf>
      <numFmt numFmtId="35" formatCode="_-* #,##0.00\ _l_e_i_-;\-* #,##0.00\ _l_e_i_-;_-* &quot;-&quot;??\ _l_e_i_-;_-@_-"/>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294" sId="2" ref="AA1:AA1048576" action="deleteCol">
    <rfmt sheetId="2" xfDxf="1" sqref="AA1:AA1048576" start="0" length="0"/>
    <rfmt sheetId="2" sqref="AA5" start="0" length="0">
      <dxf>
        <font>
          <b/>
          <sz val="14"/>
          <color auto="1"/>
          <name val="Calibri"/>
          <scheme val="minor"/>
        </font>
        <alignment horizontal="center" vertical="center" wrapText="1" readingOrder="0"/>
      </dxf>
    </rfmt>
    <rfmt sheetId="2" sqref="AA6" start="0" length="0">
      <dxf>
        <font>
          <sz val="10"/>
          <color theme="1"/>
          <name val="Calibri"/>
          <scheme val="minor"/>
        </font>
      </dxf>
    </rfmt>
    <rfmt sheetId="2" sqref="AA7" start="0" length="0">
      <dxf>
        <font>
          <b/>
          <sz val="10"/>
          <color auto="1"/>
          <name val="Calibri"/>
          <scheme val="minor"/>
        </font>
        <alignment horizontal="center" vertical="center" wrapText="1" readingOrder="0"/>
      </dxf>
    </rfmt>
    <rfmt sheetId="2" sqref="AA8" start="0" length="0">
      <dxf>
        <font>
          <b/>
          <sz val="10"/>
          <color auto="1"/>
          <name val="Calibri"/>
          <scheme val="minor"/>
        </font>
        <numFmt numFmtId="4" formatCode="#,##0.00"/>
        <alignment horizontal="right" vertical="center" wrapText="1" readingOrder="0"/>
      </dxf>
    </rfmt>
    <rcc rId="0" sId="2" dxf="1">
      <nc r="AA9" t="inlineStr">
        <is>
          <t>Act aditional NR.</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medium">
            <color indexed="64"/>
          </top>
        </border>
      </ndxf>
    </rcc>
    <rfmt sheetId="2" sqref="AA1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qref="AA1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medium">
            <color indexed="64"/>
          </bottom>
        </border>
      </dxf>
    </rfmt>
    <rfmt sheetId="2" sqref="AA12"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s="1" dxf="1">
      <nc r="AA13"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AA14"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AA15"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AA16"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AA17"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AA18"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19"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20"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21"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AA22"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AA23"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24"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25"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26"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27"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28" start="0" length="0">
      <dxf>
        <font>
          <b/>
          <sz val="10"/>
          <color rgb="FF444444"/>
          <name val="Calibri"/>
          <scheme val="minor"/>
        </font>
        <numFmt numFmtId="4" formatCode="#,##0.00"/>
        <fill>
          <patternFill patternType="solid">
            <bgColor theme="8"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29"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30"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31"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c r="AA32"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AA33"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34"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35"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36"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37"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38"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39"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AA40"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ndxf>
    </rcc>
    <rfmt sheetId="2" s="1" sqref="AA4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cc rId="0" sId="2" s="1" dxf="1">
      <nc r="AA42" t="inlineStr">
        <is>
          <t>Nr. 1/31.10.2017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1" sqref="AA43"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4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4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4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4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4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49"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AA50"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5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5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53"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AA54"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5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56"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AA57"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cc rId="0" sId="2" s="1" dxf="1">
      <nc r="AA58" t="inlineStr">
        <is>
          <t>Nr.1/24.04.2017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AA59" t="inlineStr">
        <is>
          <t>Nr.1/31.03.2017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AA60" t="inlineStr">
        <is>
          <t>Nr. 1/16.11.2017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AA61"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62"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c r="AA63" t="inlineStr">
        <is>
          <t>Nr. 1/17.08.2017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AA64" t="inlineStr">
        <is>
          <t>Nr. 1/25.07.2017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AA65" t="inlineStr">
        <is>
          <t>Nr. 1/16.11.2017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AA66" t="inlineStr">
        <is>
          <t>Nr. 1/26.10.2017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AA67"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68"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69"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c r="AA70"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AA71"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AA72"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73"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74"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AA7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7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7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78" t="inlineStr">
        <is>
          <t>Nr.1/5.04.2017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7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8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8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82" t="inlineStr">
        <is>
          <t>Nr. 1/26.10.2017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8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84" t="inlineStr">
        <is>
          <t>Nr. 1/26.05.2017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AA85" t="inlineStr">
        <is>
          <t>Nr.1/26.04.2017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8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8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8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8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9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9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9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9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94" t="inlineStr">
        <is>
          <t>Nr.1/10.04.2017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AA95" t="inlineStr">
        <is>
          <t>Nr. 1/12.10.2017                 Nr. 2/26.10.2017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AA96" t="inlineStr">
        <is>
          <t>Nr. 1/25.07.2017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9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9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9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0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0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0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0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104" t="inlineStr">
        <is>
          <t>Nr. 1/26.10.2017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10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0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0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108"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10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110" t="inlineStr">
        <is>
          <t>Nr.1/18.05.2017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AA111" t="inlineStr">
        <is>
          <t>solicitat prelungire contract finantare pe data de 13.11.2017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11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1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1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1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1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117"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11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1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2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3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AA131"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AA13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3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3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3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3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3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3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3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4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4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42"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43"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AA144"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fmt sheetId="2" s="1" sqref="AA14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4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4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4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4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5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5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5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5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AA15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5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5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5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5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5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6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8"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7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AA180"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AA181"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82"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AA183"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AA184" start="0" length="0">
      <dxf>
        <font>
          <b/>
          <sz val="10"/>
          <color rgb="FF444444"/>
          <name val="Calibri"/>
          <scheme val="minor"/>
        </font>
        <numFmt numFmtId="4" formatCode="#,##0.00"/>
        <fill>
          <patternFill patternType="solid">
            <bgColor theme="0"/>
          </patternFill>
        </fill>
        <alignment horizontal="center" vertical="top" wrapText="1" readingOrder="0"/>
        <border outline="0">
          <left style="thin">
            <color indexed="64"/>
          </left>
          <right style="thin">
            <color indexed="64"/>
          </right>
          <bottom style="thin">
            <color indexed="64"/>
          </bottom>
        </border>
      </dxf>
    </rfmt>
    <rfmt sheetId="2" sqref="AA185" start="0" length="0">
      <dxf>
        <font>
          <b/>
          <sz val="10"/>
          <color rgb="FF444444"/>
          <name val="Calibri"/>
          <scheme val="minor"/>
        </font>
        <numFmt numFmtId="4" formatCode="#,##0.00"/>
        <fill>
          <patternFill patternType="solid">
            <bgColor theme="0"/>
          </patternFill>
        </fill>
        <alignment horizontal="center" vertical="top" wrapText="1" readingOrder="0"/>
        <border outline="0">
          <left style="thin">
            <color indexed="64"/>
          </left>
          <right style="thin">
            <color indexed="64"/>
          </right>
          <bottom style="thin">
            <color indexed="64"/>
          </bottom>
        </border>
      </dxf>
    </rfmt>
    <rfmt sheetId="2" s="1" sqref="AA186"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1" sqref="AA18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8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189"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90"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AA191"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top style="thin">
            <color indexed="64"/>
          </top>
        </border>
      </dxf>
    </rfmt>
    <rfmt sheetId="2" sqref="AA192" start="0" length="0">
      <dxf>
        <font>
          <b/>
          <sz val="10"/>
          <color rgb="FF444444"/>
          <name val="Calibri"/>
          <scheme val="minor"/>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1" sqref="AA193"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dxf>
    </rfmt>
    <rfmt sheetId="2" sqref="AA194" start="0" length="0">
      <dxf>
        <font>
          <b/>
          <sz val="10"/>
          <color auto="1"/>
          <name val="Calibri"/>
          <scheme val="minor"/>
        </font>
        <alignment horizontal="center" vertical="center" wrapText="1" readingOrder="0"/>
        <border outline="0">
          <left style="thin">
            <color indexed="64"/>
          </left>
          <right style="thin">
            <color indexed="64"/>
          </right>
          <top style="thin">
            <color indexed="64"/>
          </top>
        </border>
      </dxf>
    </rfmt>
    <rfmt sheetId="2" sqref="AA195" start="0" length="0">
      <dxf>
        <font>
          <b/>
          <sz val="10"/>
          <color auto="1"/>
          <name val="Calibri"/>
          <scheme val="minor"/>
        </font>
        <alignment horizontal="center" vertical="center" wrapText="1" readingOrder="0"/>
        <border outline="0">
          <left style="thin">
            <color indexed="64"/>
          </left>
          <right style="thin">
            <color indexed="64"/>
          </right>
          <top style="thin">
            <color indexed="64"/>
          </top>
        </border>
      </dxf>
    </rfmt>
    <rfmt sheetId="2" sqref="AA196" start="0" length="0">
      <dxf>
        <font>
          <b/>
          <sz val="10"/>
          <color auto="1"/>
          <name val="Calibri"/>
          <scheme val="minor"/>
        </font>
        <alignment horizontal="center" vertical="center" wrapText="1" readingOrder="0"/>
        <border outline="0">
          <left style="thin">
            <color indexed="64"/>
          </left>
          <right style="thin">
            <color indexed="64"/>
          </right>
          <top style="thin">
            <color indexed="64"/>
          </top>
        </border>
      </dxf>
    </rfmt>
    <rfmt sheetId="2" s="1" sqref="AA197"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AA198"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19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20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AA201"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dxf>
    </rfmt>
    <rfmt sheetId="2" s="1" sqref="AA202"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AA203" start="0" length="0">
      <dxf>
        <font>
          <b/>
          <sz val="10"/>
          <color theme="1"/>
          <name val="Calibri"/>
          <scheme val="minor"/>
        </font>
        <numFmt numFmtId="4" formatCode="#,##0.00"/>
        <fill>
          <patternFill patternType="solid">
            <bgColor theme="7" tint="0.59999389629810485"/>
          </patternFill>
        </fill>
        <alignment horizontal="center" vertical="center" readingOrder="0"/>
        <border outline="0">
          <left style="thin">
            <color indexed="64"/>
          </left>
          <right style="thin">
            <color indexed="64"/>
          </right>
          <bottom style="medium">
            <color indexed="64"/>
          </bottom>
        </border>
      </dxf>
    </rfmt>
    <rfmt sheetId="2" sqref="AA204" start="0" length="0">
      <dxf>
        <font>
          <sz val="10"/>
          <color theme="1"/>
          <name val="Calibri"/>
          <scheme val="minor"/>
        </font>
      </dxf>
    </rfmt>
    <rfmt sheetId="2" sqref="AA205" start="0" length="0">
      <dxf>
        <font>
          <sz val="10"/>
          <color theme="1"/>
          <name val="Calibri"/>
          <scheme val="minor"/>
        </font>
      </dxf>
    </rfmt>
    <rfmt sheetId="2" sqref="AA216" start="0" length="0">
      <dxf>
        <font>
          <sz val="11"/>
          <color auto="1"/>
          <name val="Calibri"/>
          <scheme val="minor"/>
        </font>
      </dxf>
    </rfmt>
    <rfmt sheetId="2" sqref="AA217" start="0" length="0">
      <dxf>
        <font>
          <sz val="11"/>
          <color auto="1"/>
          <name val="Calibri"/>
          <scheme val="minor"/>
        </font>
      </dxf>
    </rfmt>
    <rfmt sheetId="2" sqref="AA218" start="0" length="0">
      <dxf>
        <font>
          <sz val="11"/>
          <color auto="1"/>
          <name val="Calibri"/>
          <scheme val="minor"/>
        </font>
      </dxf>
    </rfmt>
    <rfmt sheetId="2" sqref="AA219" start="0" length="0">
      <dxf>
        <font>
          <sz val="11"/>
          <color auto="1"/>
          <name val="Calibri"/>
          <scheme val="minor"/>
        </font>
      </dxf>
    </rfmt>
  </rrc>
  <rrc rId="3295" sId="2" ref="V1:V1048576" action="deleteCol">
    <rfmt sheetId="2" xfDxf="1" sqref="V1:V1048576" start="0" length="0"/>
    <rfmt sheetId="2" sqref="V6" start="0" length="0">
      <dxf>
        <numFmt numFmtId="4" formatCode="#,##0.00"/>
      </dxf>
    </rfmt>
    <rfmt sheetId="2" sqref="V8" start="0" length="0">
      <dxf>
        <font>
          <b/>
          <sz val="10"/>
          <color auto="1"/>
          <name val="Calibri"/>
          <scheme val="minor"/>
        </font>
        <alignment horizontal="center" vertical="center" wrapText="1" readingOrder="0"/>
      </dxf>
    </rfmt>
    <rfmt sheetId="2" sqref="V9" start="0" length="0">
      <dxf>
        <font>
          <b/>
          <sz val="10"/>
          <color auto="1"/>
          <name val="Calibri"/>
          <scheme val="minor"/>
        </font>
        <numFmt numFmtId="4" formatCode="#,##0.00"/>
        <fill>
          <patternFill patternType="solid">
            <bgColor theme="6" tint="0.59999389629810485"/>
          </patternFill>
        </fill>
        <alignment horizontal="center" vertical="center" wrapText="1" readingOrder="0"/>
        <border outline="0">
          <left style="thin">
            <color indexed="64"/>
          </left>
          <right style="thin">
            <color indexed="64"/>
          </right>
          <top style="medium">
            <color indexed="64"/>
          </top>
          <bottom style="thin">
            <color indexed="64"/>
          </bottom>
        </border>
      </dxf>
    </rfmt>
    <rcc rId="0" sId="2" dxf="1">
      <nc r="V10" t="inlineStr">
        <is>
          <t>Contributie privata</t>
        </is>
      </nc>
      <ndxf>
        <font>
          <b/>
          <sz val="10"/>
          <color auto="1"/>
          <name val="Calibri"/>
          <scheme val="minor"/>
        </font>
        <numFmt numFmtId="4" formatCode="#,##0.00"/>
        <alignment horizontal="center" vertical="center" wrapText="1" readingOrder="0"/>
        <border outline="0">
          <left style="thin">
            <color indexed="64"/>
          </left>
          <right style="thin">
            <color indexed="64"/>
          </right>
          <top style="thin">
            <color indexed="64"/>
          </top>
        </border>
      </ndxf>
    </rcc>
    <rfmt sheetId="2" sqref="V11"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medium">
            <color indexed="64"/>
          </bottom>
        </border>
      </dxf>
    </rfmt>
    <rfmt sheetId="2" sqref="V12"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fmt sheetId="2" s="1" sqref="V13"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V14"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umFmtId="4">
      <nc r="V15">
        <v>0</v>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V16">
        <f>SUM(V13:V15)</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V17"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V18"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V1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2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cc rId="0" sId="2" s="1" dxf="1">
      <nc r="V21">
        <f>SUM(V17:V20)</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V22"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V23"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V24"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umFmtId="4">
      <nc r="V25">
        <v>0</v>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V26">
        <f>SUM(V22:V25)</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V27"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28" start="0" length="0">
      <dxf>
        <font>
          <b/>
          <sz val="10"/>
          <color rgb="FF444444"/>
          <name val="Calibri"/>
          <scheme val="minor"/>
        </font>
        <numFmt numFmtId="4" formatCode="#,##0.00"/>
        <fill>
          <patternFill patternType="solid">
            <bgColor theme="8" tint="0.59999389629810485"/>
          </patternFill>
        </fill>
        <alignment horizontal="center" vertical="center" wrapText="1" readingOrder="0"/>
        <border outline="0">
          <left style="thin">
            <color indexed="64"/>
          </left>
          <right style="thin">
            <color indexed="64"/>
          </right>
        </border>
      </dxf>
    </rfmt>
    <rfmt sheetId="2" s="1" sqref="V2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3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3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3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3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3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3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3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3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3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cc rId="0" sId="2" s="1" dxf="1">
      <nc r="V39">
        <f>SUM(V29:V38)</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V4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4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4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V43"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4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4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4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4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4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V49">
        <f>SUM(V46:V48)</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V5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5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5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53"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5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5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56"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V57"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fmt sheetId="2" s="1" sqref="V58"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V5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6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6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6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6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6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6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V6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6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6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6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7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7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7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umFmtId="4">
      <nc r="V73">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umFmtId="4">
      <nc r="V74">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c r="V75">
        <f>SUM(V58:V74)</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V7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7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7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7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89"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9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9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9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93"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94"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95"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9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97"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V98"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9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3"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8"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0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5"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7"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8"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19"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4"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5"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7"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8"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29"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3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3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3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33"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34"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35"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V13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37"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38"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39"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4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4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V142">
        <f>SUM(V76:V141)</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V143"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V144"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border>
      </dxf>
    </rfmt>
    <rfmt sheetId="2" s="1" sqref="V14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4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4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4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4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5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6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7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7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7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7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7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7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7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umFmtId="4">
      <nc r="V177">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c r="V178">
        <f>SUM(V145:V177)</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ndxf>
    </rcc>
    <rfmt sheetId="2" s="1" sqref="V17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8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81"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82"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V183"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cc rId="0" sId="2" s="1" dxf="1" numFmtId="4">
      <nc r="V184">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umFmtId="4">
      <nc r="V185">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c r="V186">
        <f>SUM(V184:V185)</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V18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V18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189"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V190">
        <f>+V189+V186</f>
      </nc>
      <n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V191"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top style="thin">
            <color indexed="64"/>
          </top>
        </border>
      </dxf>
    </rfmt>
    <rcc rId="0" sId="2" s="1" dxf="1" numFmtId="4">
      <nc r="V192">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c r="V193">
        <f>+V192</f>
      </nc>
      <n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ndxf>
    </rcc>
    <rcc rId="0" sId="2" dxf="1" numFmtId="4">
      <nc r="V194">
        <v>0</v>
      </nc>
      <ndxf>
        <font>
          <b/>
          <sz val="10"/>
          <color auto="1"/>
          <name val="Calibri"/>
          <scheme val="minor"/>
        </font>
        <numFmt numFmtId="4" formatCode="#,##0.00"/>
        <alignment horizontal="center" vertical="center" wrapText="1" readingOrder="0"/>
        <border outline="0">
          <left style="thin">
            <color indexed="64"/>
          </left>
          <right style="thin">
            <color indexed="64"/>
          </right>
          <top style="thin">
            <color indexed="64"/>
          </top>
        </border>
      </ndxf>
    </rcc>
    <rcc rId="0" sId="2" dxf="1" numFmtId="4">
      <nc r="V195">
        <v>0</v>
      </nc>
      <ndxf>
        <font>
          <b/>
          <sz val="10"/>
          <color auto="1"/>
          <name val="Calibri"/>
          <scheme val="minor"/>
        </font>
        <numFmt numFmtId="4" formatCode="#,##0.00"/>
        <alignment horizontal="center" vertical="center" wrapText="1" readingOrder="0"/>
        <border outline="0">
          <left style="thin">
            <color indexed="64"/>
          </left>
          <right style="thin">
            <color indexed="64"/>
          </right>
          <top style="thin">
            <color indexed="64"/>
          </top>
        </border>
      </ndxf>
    </rcc>
    <rcc rId="0" sId="2" dxf="1" numFmtId="4">
      <nc r="V196">
        <v>0</v>
      </nc>
      <ndxf>
        <font>
          <b/>
          <sz val="10"/>
          <color auto="1"/>
          <name val="Calibri"/>
          <scheme val="minor"/>
        </font>
        <numFmt numFmtId="4" formatCode="#,##0.00"/>
        <alignment horizontal="center" vertical="center" wrapText="1" readingOrder="0"/>
        <border outline="0">
          <left style="thin">
            <color indexed="64"/>
          </left>
          <right style="thin">
            <color indexed="64"/>
          </right>
          <top style="thin">
            <color indexed="64"/>
          </top>
        </border>
      </ndxf>
    </rcc>
    <rcc rId="0" sId="2" s="1" dxf="1">
      <nc r="V197">
        <f>SUM(V194:V196)</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V198">
        <f>+V197+V193</f>
      </nc>
      <ndxf>
        <font>
          <b/>
          <sz val="10"/>
          <color rgb="FF444444"/>
          <name val="Calibri"/>
          <scheme val="minor"/>
        </font>
        <numFmt numFmtId="164" formatCode="_-* #,##0.00\ _l_e_i_-;\-* #,##0.00\ _l_e_i_-;_-* &quot;-&quot;??\ _l_e_i_-;_-@_-"/>
        <fill>
          <patternFill patternType="solid">
            <bgColor theme="3" tint="0.39997558519241921"/>
          </patternFill>
        </fill>
        <alignment vertical="top" wrapText="1" readingOrder="0"/>
        <border outline="0">
          <left style="thin">
            <color indexed="64"/>
          </left>
          <right style="thin">
            <color indexed="64"/>
          </right>
          <top style="thin">
            <color indexed="64"/>
          </top>
          <bottom style="thin">
            <color indexed="64"/>
          </bottom>
        </border>
      </ndxf>
    </rcc>
    <rfmt sheetId="2" s="1" sqref="V19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20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V201"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V202"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V203">
        <f>+V27+V56+V143+V182+V190+V198+V202</f>
      </nc>
      <ndxf>
        <font>
          <b/>
          <sz val="10"/>
          <color theme="1"/>
          <name val="Calibri"/>
          <scheme val="minor"/>
        </font>
        <numFmt numFmtId="4" formatCode="#,##0.00"/>
        <fill>
          <patternFill patternType="solid">
            <bgColor theme="7" tint="0.59999389629810485"/>
          </patternFill>
        </fill>
        <alignment horizontal="center" vertical="center" readingOrder="0"/>
        <border outline="0">
          <left style="thin">
            <color indexed="64"/>
          </left>
          <right style="thin">
            <color indexed="64"/>
          </right>
          <bottom style="medium">
            <color indexed="64"/>
          </bottom>
        </border>
      </ndxf>
    </rcc>
    <rfmt sheetId="2" sqref="V204" start="0" length="0">
      <dxf>
        <font>
          <sz val="10"/>
          <color theme="0"/>
          <name val="Calibri"/>
          <scheme val="minor"/>
        </font>
      </dxf>
    </rfmt>
    <rfmt sheetId="2" sqref="V205" start="0" length="0">
      <dxf>
        <font>
          <b/>
          <sz val="11"/>
          <color theme="0"/>
          <name val="Calibri"/>
          <scheme val="minor"/>
        </font>
        <numFmt numFmtId="4" formatCode="#,##0.00"/>
      </dxf>
    </rfmt>
    <rfmt sheetId="2" sqref="V206" start="0" length="0">
      <dxf>
        <font>
          <sz val="10"/>
          <color theme="0"/>
          <name val="Calibri"/>
          <scheme val="minor"/>
        </font>
      </dxf>
    </rfmt>
    <rfmt sheetId="2" sqref="V207" start="0" length="0">
      <dxf>
        <font>
          <sz val="11"/>
          <color theme="0"/>
          <name val="Calibri"/>
          <scheme val="minor"/>
        </font>
      </dxf>
    </rfmt>
    <rfmt sheetId="2" sqref="V208" start="0" length="0">
      <dxf>
        <font>
          <sz val="11"/>
          <color theme="0"/>
          <name val="Calibri"/>
          <scheme val="minor"/>
        </font>
        <numFmt numFmtId="4" formatCode="#,##0.00"/>
      </dxf>
    </rfmt>
    <rfmt sheetId="2" sqref="V209" start="0" length="0">
      <dxf>
        <font>
          <sz val="11"/>
          <color theme="0"/>
          <name val="Calibri"/>
          <scheme val="minor"/>
        </font>
        <numFmt numFmtId="4" formatCode="#,##0.00"/>
      </dxf>
    </rfmt>
    <rfmt sheetId="2" sqref="V210" start="0" length="0">
      <dxf>
        <font>
          <sz val="11"/>
          <color theme="0"/>
          <name val="Calibri"/>
          <scheme val="minor"/>
        </font>
        <numFmt numFmtId="4" formatCode="#,##0.00"/>
      </dxf>
    </rfmt>
    <rfmt sheetId="2" sqref="V211" start="0" length="0">
      <dxf>
        <numFmt numFmtId="4" formatCode="#,##0.00"/>
      </dxf>
    </rfmt>
    <rfmt sheetId="2" sqref="V215" start="0" length="0">
      <dxf>
        <numFmt numFmtId="4" formatCode="#,##0.00"/>
      </dxf>
    </rfmt>
    <rfmt sheetId="2" sqref="V216" start="0" length="0">
      <dxf>
        <numFmt numFmtId="4" formatCode="#,##0.00"/>
      </dxf>
    </rfmt>
    <rfmt sheetId="2" sqref="V217" start="0" length="0">
      <dxf>
        <numFmt numFmtId="4" formatCode="#,##0.00"/>
      </dxf>
    </rfmt>
  </rrc>
  <rrc rId="3296" sId="2" ref="G1:G1048576" action="deleteCol">
    <undo index="2" exp="area" ref3D="1" dr="$R$1:$R$1048576" dn="Z_B8EFA5E8_2E8C_450C_9395_D582737418AA_.wvu.Cols" sId="2"/>
    <undo index="1" exp="area" ref3D="1" dr="$E$1:$G$1048576" dn="Z_B8EFA5E8_2E8C_450C_9395_D582737418AA_.wvu.Cols" sId="2"/>
    <undo index="2" exp="area" ref3D="1" dr="$R$1:$R$1048576" dn="Z_E10820C0_32CD_441A_8635_65479FE7CBA3_.wvu.Cols" sId="2"/>
    <undo index="1" exp="area" ref3D="1" dr="$E$1:$G$1048576" dn="Z_E10820C0_32CD_441A_8635_65479FE7CBA3_.wvu.Cols" sId="2"/>
    <undo index="2" exp="area" ref3D="1" dr="$R$1:$R$1048576" dn="Z_E4462EA5_1112_4F42_BE37_A867D6FC853C_.wvu.Cols" sId="2"/>
    <undo index="1" exp="area" ref3D="1" dr="$E$1:$G$1048576" dn="Z_E4462EA5_1112_4F42_BE37_A867D6FC853C_.wvu.Cols" sId="2"/>
    <undo index="2" exp="area" ref3D="1" dr="$R$1:$R$1048576" dn="Z_E1C13DC2_98C2_4597_8D1A_C9F2C3CA60EC_.wvu.Cols" sId="2"/>
    <undo index="1" exp="area" ref3D="1" dr="$E$1:$G$1048576" dn="Z_E1C13DC2_98C2_4597_8D1A_C9F2C3CA60EC_.wvu.Cols" sId="2"/>
    <undo index="2" exp="area" ref3D="1" dr="$R$1:$R$1048576" dn="Z_83337B45_5054_4200_BF9E_4E1DC1896214_.wvu.Cols" sId="2"/>
    <undo index="1" exp="area" ref3D="1" dr="$E$1:$G$1048576" dn="Z_83337B45_5054_4200_BF9E_4E1DC1896214_.wvu.Cols" sId="2"/>
    <undo index="2" exp="area" ref3D="1" dr="$R$1:$R$1048576" dn="Z_79FA8BE5_7D13_4EF3_B35A_76ACF1C0DF3C_.wvu.Cols" sId="2"/>
    <undo index="1" exp="area" ref3D="1" dr="$E$1:$G$1048576" dn="Z_79FA8BE5_7D13_4EF3_B35A_76ACF1C0DF3C_.wvu.Cols" sId="2"/>
    <undo index="2" exp="area" ref3D="1" dr="$R$1:$R$1048576" dn="Z_9E851A6A_17B1_4E6F_A007_493445D427B8_.wvu.Cols" sId="2"/>
    <undo index="1" exp="area" ref3D="1" dr="$E$1:$G$1048576" dn="Z_9E851A6A_17B1_4E6F_A007_493445D427B8_.wvu.Cols" sId="2"/>
    <undo index="2" exp="area" ref3D="1" dr="$R$1:$R$1048576" dn="Z_DB90939E_72BD_4CED_BFB6_BD74FF913DB3_.wvu.Cols" sId="2"/>
    <undo index="1" exp="area" ref3D="1" dr="$E$1:$G$1048576" dn="Z_DB90939E_72BD_4CED_BFB6_BD74FF913DB3_.wvu.Cols" sId="2"/>
    <undo index="2" exp="area" ref3D="1" dr="$R$1:$R$1048576" dn="Z_ECCC7D97_A0C3_4C50_BA03_A8D24BCD22BE_.wvu.Cols" sId="2"/>
    <undo index="1" exp="area" ref3D="1" dr="$E$1:$G$1048576" dn="Z_ECCC7D97_A0C3_4C50_BA03_A8D24BCD22BE_.wvu.Cols" sId="2"/>
    <undo index="2" exp="area" ref3D="1" dr="$R$1:$R$1048576" dn="Z_64D2264B_4E86_4FBB_93B3_BEE727888DFE_.wvu.Cols" sId="2"/>
    <undo index="1" exp="area" ref3D="1" dr="$E$1:$G$1048576" dn="Z_64D2264B_4E86_4FBB_93B3_BEE727888DFE_.wvu.Cols" sId="2"/>
    <undo index="2" exp="area" ref3D="1" dr="$R$1:$R$1048576" dn="Z_413D6799_9F75_47FF_8A9E_5CB9283B7BBE_.wvu.Cols" sId="2"/>
    <undo index="1" exp="area" ref3D="1" dr="$E$1:$G$1048576" dn="Z_413D6799_9F75_47FF_8A9E_5CB9283B7BBE_.wvu.Cols" sId="2"/>
    <undo index="2" exp="area" ref3D="1" dr="$R$1:$R$1048576" dn="Z_61C44EA8_4687_4D4E_A1ED_359DF81A71FB_.wvu.Cols" sId="2"/>
    <undo index="1" exp="area" ref3D="1" dr="$E$1:$G$1048576" dn="Z_61C44EA8_4687_4D4E_A1ED_359DF81A71FB_.wvu.Cols" sId="2"/>
    <undo index="2" exp="area" ref3D="1" dr="$R$1:$R$1048576" dn="Z_437FD6EF_32B2_4DE0_BA89_93A7E3EF04C5_.wvu.Cols" sId="2"/>
    <undo index="1" exp="area" ref3D="1" dr="$E$1:$G$1048576" dn="Z_437FD6EF_32B2_4DE0_BA89_93A7E3EF04C5_.wvu.Cols" sId="2"/>
    <undo index="2" exp="area" ref3D="1" dr="$R$1:$R$1048576" dn="Z_0F598BC0_9523_4AD3_94A3_BDEC8367FE11_.wvu.Cols" sId="2"/>
    <undo index="1" exp="area" ref3D="1" dr="$E$1:$G$1048576" dn="Z_0F598BC0_9523_4AD3_94A3_BDEC8367FE11_.wvu.Cols" sId="2"/>
    <undo index="2" exp="area" ref3D="1" dr="$R$1:$R$1048576" dn="Z_3EBF2DB4_84D7_478D_9896_C4DA08B65D0C_.wvu.Cols" sId="2"/>
    <undo index="1" exp="area" ref3D="1" dr="$E$1:$G$1048576" dn="Z_3EBF2DB4_84D7_478D_9896_C4DA08B65D0C_.wvu.Cols" sId="2"/>
    <undo index="2" exp="area" ref3D="1" dr="$R$1:$R$1048576" dn="Z_216972B4_771A_4607_A8B4_AC73D5CD6C1A_.wvu.Cols" sId="2"/>
    <undo index="1" exp="area" ref3D="1" dr="$E$1:$G$1048576" dn="Z_216972B4_771A_4607_A8B4_AC73D5CD6C1A_.wvu.Cols" sId="2"/>
    <undo index="2" exp="area" ref3D="1" dr="$R$1:$R$1048576" dn="Z_2234C728_15E1_4BAF_98DE_620726961552_.wvu.Cols" sId="2"/>
    <undo index="1" exp="area" ref3D="1" dr="$E$1:$G$1048576" dn="Z_2234C728_15E1_4BAF_98DE_620726961552_.wvu.Cols" sId="2"/>
    <rfmt sheetId="2" xfDxf="1" sqref="G1:G1048576" start="0" length="0"/>
    <rfmt sheetId="2" sqref="G5" start="0" length="0">
      <dxf>
        <font>
          <b/>
          <sz val="10"/>
          <color auto="1"/>
          <name val="Calibri"/>
          <scheme val="minor"/>
        </font>
        <alignment horizontal="center" vertical="center" wrapText="1" readingOrder="0"/>
      </dxf>
    </rfmt>
    <rfmt sheetId="2" sqref="G6" start="0" length="0">
      <dxf>
        <font>
          <b/>
          <sz val="10"/>
          <color auto="1"/>
          <name val="Calibri"/>
          <scheme val="minor"/>
        </font>
        <alignment horizontal="center" vertical="center" wrapText="1" readingOrder="0"/>
      </dxf>
    </rfmt>
    <rfmt sheetId="2" sqref="G7" start="0" length="0">
      <dxf>
        <font>
          <b/>
          <sz val="10"/>
          <color auto="1"/>
          <name val="Calibri"/>
          <scheme val="minor"/>
        </font>
        <alignment horizontal="center" vertical="center" wrapText="1" readingOrder="0"/>
      </dxf>
    </rfmt>
    <rfmt sheetId="2" sqref="G8" start="0" length="0">
      <dxf>
        <font>
          <b/>
          <sz val="10"/>
          <color auto="1"/>
          <name val="Calibri"/>
          <scheme val="minor"/>
        </font>
        <alignment horizontal="center" vertical="center" wrapText="1" readingOrder="0"/>
      </dxf>
    </rfmt>
    <rcc rId="0" sId="2" dxf="1">
      <nc r="G9" t="inlineStr">
        <is>
          <t>Tip apel/data lansarii /data inchidere apel de proiecte</t>
        </is>
      </nc>
      <ndxf>
        <font>
          <b/>
          <sz val="10"/>
          <color auto="1"/>
          <name val="Calibri"/>
          <scheme val="minor"/>
        </font>
        <alignment horizontal="center" vertical="center" wrapText="1" readingOrder="0"/>
        <border outline="0">
          <left style="thin">
            <color indexed="64"/>
          </left>
          <right style="thin">
            <color indexed="64"/>
          </right>
          <top style="medium">
            <color indexed="64"/>
          </top>
        </border>
      </ndxf>
    </rcc>
    <rfmt sheetId="2" sqref="G10" start="0" length="0">
      <dxf>
        <font>
          <b/>
          <sz val="10"/>
          <color auto="1"/>
          <name val="Calibri"/>
          <scheme val="minor"/>
        </font>
        <alignment horizontal="center" vertical="center" wrapText="1" readingOrder="0"/>
        <border outline="0">
          <left style="thin">
            <color indexed="64"/>
          </left>
          <right style="thin">
            <color indexed="64"/>
          </right>
        </border>
      </dxf>
    </rfmt>
    <rfmt sheetId="2" sqref="G11" start="0" length="0">
      <dxf>
        <font>
          <b/>
          <sz val="10"/>
          <color auto="1"/>
          <name val="Calibri"/>
          <scheme val="minor"/>
        </font>
        <alignment horizontal="center" vertical="center" wrapText="1" readingOrder="0"/>
        <border outline="0">
          <left style="thin">
            <color indexed="64"/>
          </left>
          <right style="thin">
            <color indexed="64"/>
          </right>
          <bottom style="medium">
            <color indexed="64"/>
          </bottom>
        </border>
      </dxf>
    </rfmt>
    <rfmt sheetId="2" sqref="G12"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G13" t="inlineStr">
        <is>
          <t>Necompetitiv (cu depunere continuă, pe bază de liste de proiecte preidentificate)/ 30.05.2016/31.12.2018</t>
        </is>
      </nc>
      <ndxf>
        <font>
          <b/>
          <sz val="10"/>
          <color rgb="FF444444"/>
          <name val="Calibri"/>
          <scheme val="minor"/>
        </font>
        <alignment horizontal="center" vertical="center" wrapText="1" readingOrder="0"/>
        <border outline="0">
          <left style="thin">
            <color indexed="64"/>
          </left>
          <right style="thin">
            <color indexed="64"/>
          </right>
          <top style="thin">
            <color indexed="64"/>
          </top>
        </border>
      </ndxf>
    </rcc>
    <rfmt sheetId="2" sqref="G14" start="0" length="0">
      <dxf>
        <font>
          <b/>
          <sz val="10"/>
          <color rgb="FF444444"/>
          <name val="Calibri"/>
          <scheme val="minor"/>
        </font>
        <alignment horizontal="center" vertical="center" wrapText="1" readingOrder="0"/>
        <border outline="0">
          <left style="thin">
            <color indexed="64"/>
          </left>
          <right style="thin">
            <color indexed="64"/>
          </right>
          <bottom style="thin">
            <color indexed="64"/>
          </bottom>
        </border>
      </dxf>
    </rfmt>
    <rcc rId="0" sId="2" dxf="1">
      <nc r="G15">
        <f>$G$13</f>
      </nc>
      <ndxf>
        <font>
          <b/>
          <sz val="10"/>
          <color rgb="FF444444"/>
          <name val="Calibri"/>
          <scheme val="minor"/>
        </font>
        <alignment horizontal="center" vertical="center" wrapText="1" readingOrder="0"/>
        <border outline="0">
          <left style="thin">
            <color indexed="64"/>
          </left>
          <right style="thin">
            <color indexed="64"/>
          </right>
          <bottom style="thin">
            <color indexed="64"/>
          </bottom>
        </border>
      </ndxf>
    </rcc>
    <rfmt sheetId="2" sqref="G16"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G17" t="inlineStr">
        <is>
          <t>Necompetitiv (cu depunere continuă, pe bază de liste de proiecte preidentificate)/ 30.05.2016/31.12.2018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G1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G19" t="inlineStr">
        <is>
          <t>Necompetitiv (cu depunere continuă, pe bază de liste de proiecte preidentificate)/ 30.05.2016/31.12.2018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G2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qref="G21"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G22" t="inlineStr">
        <is>
          <t>Necompetitiv (cu depunere continuă, pe bază de liste de proiecte preidentificate)/ 30.05.2016/31.12.2018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G2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2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G25">
        <f>$G$22</f>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qref="G26"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27"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28"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G29" t="inlineStr">
        <is>
          <t>Necompetitiv (cu depunere continuă, pe bază de liste de proiecte preidentificate)/ 30.05.2016/31.12.2018</t>
        </is>
      </nc>
      <ndxf>
        <font>
          <b/>
          <sz val="11"/>
          <color theme="1"/>
          <name val="Calibri"/>
          <scheme val="minor"/>
        </font>
      </ndxf>
    </rcc>
    <rfmt sheetId="2" sqref="G30" start="0" length="0">
      <dxf>
        <font>
          <b/>
          <sz val="11"/>
          <color theme="1"/>
          <name val="Calibri"/>
          <scheme val="minor"/>
        </font>
      </dxf>
    </rfmt>
    <rfmt sheetId="2" sqref="G31" start="0" length="0">
      <dxf>
        <font>
          <b/>
          <sz val="11"/>
          <color theme="1"/>
          <name val="Calibri"/>
          <scheme val="minor"/>
        </font>
      </dxf>
    </rfmt>
    <rfmt sheetId="2" sqref="G32" start="0" length="0">
      <dxf>
        <font>
          <b/>
          <sz val="11"/>
          <color theme="1"/>
          <name val="Calibri"/>
          <scheme val="minor"/>
        </font>
      </dxf>
    </rfmt>
    <rfmt sheetId="2" sqref="G33" start="0" length="0">
      <dxf>
        <font>
          <b/>
          <sz val="11"/>
          <color theme="1"/>
          <name val="Calibri"/>
          <scheme val="minor"/>
        </font>
      </dxf>
    </rfmt>
    <rfmt sheetId="2" sqref="G34" start="0" length="0">
      <dxf>
        <font>
          <b/>
          <sz val="11"/>
          <color theme="1"/>
          <name val="Calibri"/>
          <scheme val="minor"/>
        </font>
      </dxf>
    </rfmt>
    <rfmt sheetId="2" sqref="G35" start="0" length="0">
      <dxf>
        <font>
          <b/>
          <sz val="11"/>
          <color theme="1"/>
          <name val="Calibri"/>
          <scheme val="minor"/>
        </font>
      </dxf>
    </rfmt>
    <rfmt sheetId="2" sqref="G36" start="0" length="0">
      <dxf>
        <font>
          <b/>
          <sz val="11"/>
          <color theme="1"/>
          <name val="Calibri"/>
          <scheme val="minor"/>
        </font>
      </dxf>
    </rfmt>
    <rfmt sheetId="2" sqref="G37" start="0" length="0">
      <dxf>
        <font>
          <b/>
          <sz val="11"/>
          <color theme="1"/>
          <name val="Calibri"/>
          <scheme val="minor"/>
        </font>
      </dxf>
    </rfmt>
    <rfmt sheetId="2" sqref="G38" start="0" length="0">
      <dxf>
        <font>
          <b/>
          <sz val="11"/>
          <color theme="1"/>
          <name val="Calibri"/>
          <scheme val="minor"/>
        </font>
      </dxf>
    </rfmt>
    <rfmt sheetId="2" sqref="G39"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G40" t="inlineStr">
        <is>
          <t>Necompetitiv (cu depunere continuă, pe bază de liste de proiecte preidentificate)/ 30.05.2016/31.12.2018</t>
        </is>
      </nc>
      <ndxf>
        <font>
          <b/>
          <sz val="10"/>
          <color rgb="FF444444"/>
          <name val="Calibri"/>
          <scheme val="minor"/>
        </font>
        <alignment horizontal="center" vertical="center" wrapText="1" readingOrder="0"/>
        <border outline="0">
          <left style="thin">
            <color indexed="64"/>
          </left>
          <right style="thin">
            <color indexed="64"/>
          </right>
          <top style="thin">
            <color indexed="64"/>
          </top>
        </border>
      </ndxf>
    </rcc>
    <rfmt sheetId="2" sqref="G41" start="0" length="0">
      <dxf>
        <font>
          <b/>
          <sz val="10"/>
          <color rgb="FF444444"/>
          <name val="Calibri"/>
          <scheme val="minor"/>
        </font>
        <alignment horizontal="center" vertical="center" wrapText="1" readingOrder="0"/>
        <border outline="0">
          <left style="thin">
            <color indexed="64"/>
          </left>
          <right style="thin">
            <color indexed="64"/>
          </right>
        </border>
      </dxf>
    </rfmt>
    <rfmt sheetId="2" sqref="G42" start="0" length="0">
      <dxf>
        <font>
          <b/>
          <sz val="10"/>
          <color rgb="FF444444"/>
          <name val="Calibri"/>
          <scheme val="minor"/>
        </font>
        <alignment horizontal="center" vertical="center" wrapText="1" readingOrder="0"/>
        <border outline="0">
          <left style="thin">
            <color indexed="64"/>
          </left>
          <right style="thin">
            <color indexed="64"/>
          </right>
          <bottom style="thin">
            <color indexed="64"/>
          </bottom>
        </border>
      </dxf>
    </rfmt>
    <rfmt sheetId="2" sqref="G43"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G44" t="inlineStr">
        <is>
          <t>Necompetitiv                             (cu depunere continuă, pe bază de liste de proiecte preidentificate)/ 29 august 2016/01.02.2017</t>
        </is>
      </nc>
      <ndxf>
        <font>
          <b/>
          <sz val="10"/>
          <color rgb="FF444444"/>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fmt sheetId="2" sqref="G45"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G46" t="inlineStr">
        <is>
          <t>Necompetitiv (cu depunere continuă, pe bază de liste de proiecte preidentificate)/20.07.2016/31.12.208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G4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G48" t="inlineStr">
        <is>
          <t>Necompetitiv (cu depunere continuă, pe bază de liste de proiecte preidentificate)/20.07.2016/31.12.208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ndxf>
    </rcc>
    <rfmt sheetId="2" sqref="G49"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rder>
      </dxf>
    </rfmt>
    <rcc rId="0" sId="2" dxf="1">
      <nc r="G50" t="inlineStr">
        <is>
          <t>Necompetitiv (cu depunere continuă, pe bază de liste de proiecte preidentificate)/ 30.05.2016/31.12.2018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G5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5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5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5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qref="G55"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56"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57"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G58"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G5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6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7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G71"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72"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73"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74"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G75"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G76"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G7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7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7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8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9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0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1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2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G13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G131"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32"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33"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34"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35"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36"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37"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38"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39"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40"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G141"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G142"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143"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144"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G145" t="inlineStr">
        <is>
          <r>
            <t xml:space="preserve">Competitiv cu depunere continua/20.02.2016 si </t>
          </r>
          <r>
            <rPr>
              <b/>
              <sz val="10"/>
              <color rgb="FFFF0000"/>
              <rFont val="Calibri"/>
              <family val="2"/>
              <charset val="238"/>
            </rPr>
            <t xml:space="preserve">relansat </t>
          </r>
          <r>
            <rPr>
              <b/>
              <sz val="10"/>
              <rFont val="Calibri"/>
              <family val="2"/>
              <charset val="238"/>
            </rPr>
            <t>in 28.08.2017/30.06.2018</t>
          </r>
        </is>
      </nc>
      <ndxf>
        <font>
          <b/>
          <sz val="10"/>
          <color auto="1"/>
          <name val="Calibri"/>
          <scheme val="minor"/>
        </font>
        <alignment horizontal="center" vertical="center" wrapText="1" readingOrder="0"/>
        <border outline="0">
          <left style="thin">
            <color indexed="64"/>
          </left>
          <right style="thin">
            <color indexed="64"/>
          </right>
          <top style="thin">
            <color indexed="64"/>
          </top>
        </border>
      </ndxf>
    </rcc>
    <rfmt sheetId="2" sqref="G146" start="0" length="0">
      <dxf>
        <font>
          <b/>
          <sz val="10"/>
          <color auto="1"/>
          <name val="Calibri"/>
          <scheme val="minor"/>
        </font>
        <alignment horizontal="center" vertical="center" wrapText="1" readingOrder="0"/>
        <border outline="0">
          <left style="thin">
            <color indexed="64"/>
          </left>
          <right style="thin">
            <color indexed="64"/>
          </right>
        </border>
      </dxf>
    </rfmt>
    <rfmt sheetId="2" sqref="G147" start="0" length="0">
      <dxf>
        <font>
          <b/>
          <sz val="10"/>
          <color auto="1"/>
          <name val="Calibri"/>
          <scheme val="minor"/>
        </font>
        <alignment horizontal="center" vertical="center" wrapText="1" readingOrder="0"/>
        <border outline="0">
          <left style="thin">
            <color indexed="64"/>
          </left>
          <right style="thin">
            <color indexed="64"/>
          </right>
        </border>
      </dxf>
    </rfmt>
    <rfmt sheetId="2" sqref="G148" start="0" length="0">
      <dxf>
        <font>
          <b/>
          <sz val="10"/>
          <color auto="1"/>
          <name val="Calibri"/>
          <scheme val="minor"/>
        </font>
        <alignment horizontal="center" vertical="center" wrapText="1" readingOrder="0"/>
        <border outline="0">
          <left style="thin">
            <color indexed="64"/>
          </left>
          <right style="thin">
            <color indexed="64"/>
          </right>
        </border>
      </dxf>
    </rfmt>
    <rfmt sheetId="2" sqref="G149" start="0" length="0">
      <dxf>
        <font>
          <b/>
          <sz val="10"/>
          <color auto="1"/>
          <name val="Calibri"/>
          <scheme val="minor"/>
        </font>
        <alignment horizontal="center" vertical="center" wrapText="1" readingOrder="0"/>
        <border outline="0">
          <left style="thin">
            <color indexed="64"/>
          </left>
          <right style="thin">
            <color indexed="64"/>
          </right>
        </border>
      </dxf>
    </rfmt>
    <rfmt sheetId="2" sqref="G150" start="0" length="0">
      <dxf>
        <font>
          <b/>
          <sz val="10"/>
          <color auto="1"/>
          <name val="Calibri"/>
          <scheme val="minor"/>
        </font>
        <alignment horizontal="center" vertical="center" wrapText="1" readingOrder="0"/>
        <border outline="0">
          <left style="thin">
            <color indexed="64"/>
          </left>
          <right style="thin">
            <color indexed="64"/>
          </right>
        </border>
      </dxf>
    </rfmt>
    <rfmt sheetId="2" sqref="G151" start="0" length="0">
      <dxf>
        <font>
          <b/>
          <sz val="10"/>
          <color auto="1"/>
          <name val="Calibri"/>
          <scheme val="minor"/>
        </font>
        <alignment horizontal="center" vertical="center" wrapText="1" readingOrder="0"/>
        <border outline="0">
          <left style="thin">
            <color indexed="64"/>
          </left>
          <right style="thin">
            <color indexed="64"/>
          </right>
        </border>
      </dxf>
    </rfmt>
    <rfmt sheetId="2" sqref="G152" start="0" length="0">
      <dxf>
        <font>
          <b/>
          <sz val="10"/>
          <color auto="1"/>
          <name val="Calibri"/>
          <scheme val="minor"/>
        </font>
        <alignment horizontal="center" vertical="center" wrapText="1" readingOrder="0"/>
        <border outline="0">
          <left style="thin">
            <color indexed="64"/>
          </left>
          <right style="thin">
            <color indexed="64"/>
          </right>
        </border>
      </dxf>
    </rfmt>
    <rfmt sheetId="2" sqref="G153" start="0" length="0">
      <dxf>
        <font>
          <b/>
          <sz val="10"/>
          <color auto="1"/>
          <name val="Calibri"/>
          <scheme val="minor"/>
        </font>
        <alignment horizontal="center" vertical="center" wrapText="1" readingOrder="0"/>
        <border outline="0">
          <left style="thin">
            <color indexed="64"/>
          </left>
          <right style="thin">
            <color indexed="64"/>
          </right>
        </border>
      </dxf>
    </rfmt>
    <rfmt sheetId="2" sqref="G154" start="0" length="0">
      <dxf>
        <font>
          <b/>
          <sz val="10"/>
          <color auto="1"/>
          <name val="Calibri"/>
          <scheme val="minor"/>
        </font>
        <alignment horizontal="center" vertical="center" wrapText="1" readingOrder="0"/>
        <border outline="0">
          <left style="thin">
            <color indexed="64"/>
          </left>
          <right style="thin">
            <color indexed="64"/>
          </right>
        </border>
      </dxf>
    </rfmt>
    <rfmt sheetId="2" sqref="G155" start="0" length="0">
      <dxf>
        <font>
          <b/>
          <sz val="10"/>
          <color auto="1"/>
          <name val="Calibri"/>
          <scheme val="minor"/>
        </font>
        <alignment horizontal="center" vertical="center" wrapText="1" readingOrder="0"/>
        <border outline="0">
          <left style="thin">
            <color indexed="64"/>
          </left>
          <right style="thin">
            <color indexed="64"/>
          </right>
        </border>
      </dxf>
    </rfmt>
    <rfmt sheetId="2" sqref="G156" start="0" length="0">
      <dxf>
        <font>
          <b/>
          <sz val="10"/>
          <color auto="1"/>
          <name val="Calibri"/>
          <scheme val="minor"/>
        </font>
        <alignment horizontal="center" vertical="center" wrapText="1" readingOrder="0"/>
        <border outline="0">
          <left style="thin">
            <color indexed="64"/>
          </left>
          <right style="thin">
            <color indexed="64"/>
          </right>
        </border>
      </dxf>
    </rfmt>
    <rfmt sheetId="2" sqref="G157" start="0" length="0">
      <dxf>
        <font>
          <b/>
          <sz val="10"/>
          <color auto="1"/>
          <name val="Calibri"/>
          <scheme val="minor"/>
        </font>
        <alignment horizontal="center" vertical="center" wrapText="1" readingOrder="0"/>
        <border outline="0">
          <left style="thin">
            <color indexed="64"/>
          </left>
          <right style="thin">
            <color indexed="64"/>
          </right>
        </border>
      </dxf>
    </rfmt>
    <rfmt sheetId="2" sqref="G158" start="0" length="0">
      <dxf>
        <font>
          <b/>
          <sz val="10"/>
          <color auto="1"/>
          <name val="Calibri"/>
          <scheme val="minor"/>
        </font>
        <alignment horizontal="center" vertical="center" wrapText="1" readingOrder="0"/>
        <border outline="0">
          <left style="thin">
            <color indexed="64"/>
          </left>
          <right style="thin">
            <color indexed="64"/>
          </right>
        </border>
      </dxf>
    </rfmt>
    <rfmt sheetId="2" sqref="G159" start="0" length="0">
      <dxf>
        <font>
          <b/>
          <sz val="10"/>
          <color auto="1"/>
          <name val="Calibri"/>
          <scheme val="minor"/>
        </font>
        <alignment horizontal="center" vertical="center" wrapText="1" readingOrder="0"/>
        <border outline="0">
          <left style="thin">
            <color indexed="64"/>
          </left>
          <right style="thin">
            <color indexed="64"/>
          </right>
        </border>
      </dxf>
    </rfmt>
    <rfmt sheetId="2" sqref="G160" start="0" length="0">
      <dxf>
        <font>
          <b/>
          <sz val="10"/>
          <color auto="1"/>
          <name val="Calibri"/>
          <scheme val="minor"/>
        </font>
        <alignment horizontal="center" vertical="center" wrapText="1" readingOrder="0"/>
        <border outline="0">
          <left style="thin">
            <color indexed="64"/>
          </left>
          <right style="thin">
            <color indexed="64"/>
          </right>
        </border>
      </dxf>
    </rfmt>
    <rfmt sheetId="2" sqref="G161" start="0" length="0">
      <dxf>
        <font>
          <b/>
          <sz val="10"/>
          <color auto="1"/>
          <name val="Calibri"/>
          <scheme val="minor"/>
        </font>
        <alignment horizontal="center" vertical="center" wrapText="1" readingOrder="0"/>
        <border outline="0">
          <left style="thin">
            <color indexed="64"/>
          </left>
          <right style="thin">
            <color indexed="64"/>
          </right>
        </border>
      </dxf>
    </rfmt>
    <rfmt sheetId="2" sqref="G162" start="0" length="0">
      <dxf>
        <font>
          <b/>
          <sz val="10"/>
          <color auto="1"/>
          <name val="Calibri"/>
          <scheme val="minor"/>
        </font>
        <alignment horizontal="center" vertical="center" wrapText="1" readingOrder="0"/>
        <border outline="0">
          <left style="thin">
            <color indexed="64"/>
          </left>
          <right style="thin">
            <color indexed="64"/>
          </right>
        </border>
      </dxf>
    </rfmt>
    <rfmt sheetId="2" sqref="G163" start="0" length="0">
      <dxf>
        <font>
          <b/>
          <sz val="10"/>
          <color auto="1"/>
          <name val="Calibri"/>
          <scheme val="minor"/>
        </font>
        <alignment horizontal="center" vertical="center" wrapText="1" readingOrder="0"/>
        <border outline="0">
          <left style="thin">
            <color indexed="64"/>
          </left>
          <right style="thin">
            <color indexed="64"/>
          </right>
        </border>
      </dxf>
    </rfmt>
    <rfmt sheetId="2" sqref="G164" start="0" length="0">
      <dxf>
        <font>
          <b/>
          <sz val="10"/>
          <color auto="1"/>
          <name val="Calibri"/>
          <scheme val="minor"/>
        </font>
        <alignment horizontal="center" vertical="center" wrapText="1" readingOrder="0"/>
        <border outline="0">
          <left style="thin">
            <color indexed="64"/>
          </left>
          <right style="thin">
            <color indexed="64"/>
          </right>
        </border>
      </dxf>
    </rfmt>
    <rfmt sheetId="2" sqref="G165" start="0" length="0">
      <dxf>
        <font>
          <b/>
          <sz val="10"/>
          <color auto="1"/>
          <name val="Calibri"/>
          <scheme val="minor"/>
        </font>
        <alignment horizontal="center" vertical="center" wrapText="1" readingOrder="0"/>
        <border outline="0">
          <left style="thin">
            <color indexed="64"/>
          </left>
          <right style="thin">
            <color indexed="64"/>
          </right>
        </border>
      </dxf>
    </rfmt>
    <rfmt sheetId="2" sqref="G166" start="0" length="0">
      <dxf>
        <font>
          <b/>
          <sz val="10"/>
          <color auto="1"/>
          <name val="Calibri"/>
          <scheme val="minor"/>
        </font>
        <alignment horizontal="center" vertical="center" wrapText="1" readingOrder="0"/>
        <border outline="0">
          <left style="thin">
            <color indexed="64"/>
          </left>
          <right style="thin">
            <color indexed="64"/>
          </right>
        </border>
      </dxf>
    </rfmt>
    <rfmt sheetId="2" sqref="G167" start="0" length="0">
      <dxf>
        <font>
          <b/>
          <sz val="10"/>
          <color auto="1"/>
          <name val="Calibri"/>
          <scheme val="minor"/>
        </font>
        <alignment horizontal="center" vertical="center" wrapText="1" readingOrder="0"/>
        <border outline="0">
          <left style="thin">
            <color indexed="64"/>
          </left>
          <right style="thin">
            <color indexed="64"/>
          </right>
        </border>
      </dxf>
    </rfmt>
    <rfmt sheetId="2" sqref="G168" start="0" length="0">
      <dxf>
        <font>
          <b/>
          <sz val="10"/>
          <color auto="1"/>
          <name val="Calibri"/>
          <scheme val="minor"/>
        </font>
        <alignment horizontal="center" vertical="center" wrapText="1" readingOrder="0"/>
        <border outline="0">
          <left style="thin">
            <color indexed="64"/>
          </left>
          <right style="thin">
            <color indexed="64"/>
          </right>
        </border>
      </dxf>
    </rfmt>
    <rfmt sheetId="2" sqref="G169" start="0" length="0">
      <dxf>
        <font>
          <b/>
          <sz val="10"/>
          <color auto="1"/>
          <name val="Calibri"/>
          <scheme val="minor"/>
        </font>
        <alignment horizontal="center" vertical="center" wrapText="1" readingOrder="0"/>
        <border outline="0">
          <left style="thin">
            <color indexed="64"/>
          </left>
          <right style="thin">
            <color indexed="64"/>
          </right>
        </border>
      </dxf>
    </rfmt>
    <rfmt sheetId="2" sqref="G170" start="0" length="0">
      <dxf>
        <font>
          <b/>
          <sz val="10"/>
          <color auto="1"/>
          <name val="Calibri"/>
          <scheme val="minor"/>
        </font>
        <alignment horizontal="center" vertical="center" wrapText="1" readingOrder="0"/>
        <border outline="0">
          <left style="thin">
            <color indexed="64"/>
          </left>
          <right style="thin">
            <color indexed="64"/>
          </right>
        </border>
      </dxf>
    </rfmt>
    <rfmt sheetId="2" sqref="G171" start="0" length="0">
      <dxf>
        <font>
          <b/>
          <sz val="10"/>
          <color auto="1"/>
          <name val="Calibri"/>
          <scheme val="minor"/>
        </font>
        <alignment horizontal="center" vertical="center" wrapText="1" readingOrder="0"/>
        <border outline="0">
          <left style="thin">
            <color indexed="64"/>
          </left>
          <right style="thin">
            <color indexed="64"/>
          </right>
        </border>
      </dxf>
    </rfmt>
    <rfmt sheetId="2" sqref="G172" start="0" length="0">
      <dxf>
        <font>
          <b/>
          <sz val="10"/>
          <color auto="1"/>
          <name val="Calibri"/>
          <scheme val="minor"/>
        </font>
        <alignment horizontal="center" vertical="center" wrapText="1" readingOrder="0"/>
        <border outline="0">
          <left style="thin">
            <color indexed="64"/>
          </left>
          <right style="thin">
            <color indexed="64"/>
          </right>
          <bottom style="thin">
            <color indexed="64"/>
          </bottom>
        </border>
      </dxf>
    </rfmt>
    <rcc rId="0" sId="2" dxf="1">
      <nc r="G173"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G174"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G175"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G176"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G177"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fmt sheetId="2" s="1" sqref="G178"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G179" t="inlineStr">
        <is>
          <t>Necompetitiv( cu depunere continua pe baza de liste de proiecte preidentificate)/30.12.2016/30.062017</t>
        </is>
      </nc>
      <ndxf>
        <font>
          <b/>
          <sz val="10"/>
          <color auto="1"/>
          <name val="Calibri"/>
          <scheme val="minor"/>
        </font>
        <alignment horizontal="center" vertical="center" wrapText="1" readingOrder="0"/>
        <border outline="0">
          <top style="thin">
            <color auto="1"/>
          </top>
        </border>
      </ndxf>
    </rcc>
    <rfmt sheetId="2" sqref="G180" start="0" length="0">
      <dxf>
        <font>
          <b/>
          <sz val="10"/>
          <color auto="1"/>
          <name val="Calibri"/>
          <scheme val="minor"/>
        </font>
        <alignment horizontal="center" vertical="center" wrapText="1" readingOrder="0"/>
        <border outline="0">
          <bottom style="thin">
            <color indexed="64"/>
          </bottom>
        </border>
      </dxf>
    </rfmt>
    <rfmt sheetId="2" s="1" sqref="G181"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182"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183"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G184" t="inlineStr">
        <is>
          <t>Necompetitiv (cu depunere continuă)</t>
        </is>
      </nc>
      <ndxf>
        <font>
          <b/>
          <sz val="10"/>
          <color auto="1"/>
          <name val="Calibri"/>
          <scheme val="minor"/>
        </font>
        <fill>
          <patternFill patternType="solid">
            <bgColor theme="0"/>
          </patternFill>
        </fill>
        <alignment horizontal="center" vertical="center" wrapText="1" readingOrder="0"/>
        <border outline="0">
          <top style="thin">
            <color auto="1"/>
          </top>
        </border>
      </ndxf>
    </rcc>
    <rcc rId="0" sId="2" dxf="1">
      <nc r="G185" t="inlineStr">
        <is>
          <t>Necompetitiv (cu depunere continuă)</t>
        </is>
      </nc>
      <ndxf>
        <font>
          <b/>
          <sz val="10"/>
          <color auto="1"/>
          <name val="Calibri"/>
          <scheme val="minor"/>
        </font>
        <fill>
          <patternFill patternType="solid">
            <bgColor theme="0"/>
          </patternFill>
        </fill>
        <alignment horizontal="center" vertical="center" wrapText="1" readingOrder="0"/>
        <border outline="0">
          <top style="thin">
            <color auto="1"/>
          </top>
        </border>
      </ndxf>
    </rcc>
    <rfmt sheetId="2" s="1" sqref="G186"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cc rId="0" sId="2" dxf="1">
      <nc r="G187" t="inlineStr">
        <is>
          <t>Necompetitiv (cu depunere continuă, pe bază de liste de proiecte preidentificate)/19.04.2016/01.02.2017</t>
        </is>
      </nc>
      <ndxf>
        <font>
          <b/>
          <sz val="10"/>
          <color theme="1"/>
          <name val="Calibri"/>
          <scheme val="minor"/>
        </font>
        <alignment horizontal="center" vertical="center" wrapText="1" readingOrder="0"/>
        <border outline="0">
          <left style="thin">
            <color indexed="64"/>
          </left>
          <right style="thin">
            <color indexed="64"/>
          </right>
        </border>
      </ndxf>
    </rcc>
    <rfmt sheetId="2" sqref="G188" start="0" length="0">
      <dxf>
        <font>
          <b/>
          <sz val="10"/>
          <color theme="1"/>
          <name val="Calibri"/>
          <scheme val="minor"/>
        </font>
        <alignment horizontal="center" vertical="center" wrapText="1" readingOrder="0"/>
        <border outline="0">
          <left style="thin">
            <color indexed="64"/>
          </left>
          <right style="thin">
            <color indexed="64"/>
          </right>
          <bottom style="thin">
            <color indexed="64"/>
          </bottom>
        </border>
      </dxf>
    </rfmt>
    <rfmt sheetId="2" s="1" sqref="G189"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G190"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191"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fmt sheetId="2" sqref="G192" start="0" length="0">
      <dxf>
        <font>
          <b/>
          <sz val="10"/>
          <color rgb="FF444444"/>
          <name val="Calibri"/>
          <scheme val="minor"/>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1" sqref="G193"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dxf>
    </rfmt>
    <rfmt sheetId="2" sqref="G194" start="0" length="0">
      <dxf>
        <font>
          <b/>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qref="G195" start="0" length="0">
      <dxf>
        <font>
          <b/>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qref="G196" start="0" length="0">
      <dxf>
        <font>
          <b/>
          <sz val="10"/>
          <color auto="1"/>
          <name val="Calibri"/>
          <scheme val="minor"/>
        </font>
        <fill>
          <patternFill patternType="solid">
            <bgColor theme="0"/>
          </patternFill>
        </fill>
        <alignment horizontal="center" vertical="center" wrapText="1" readingOrder="0"/>
        <border outline="0">
          <right style="thin">
            <color indexed="64"/>
          </right>
          <top style="thin">
            <color indexed="64"/>
          </top>
        </border>
      </dxf>
    </rfmt>
    <rfmt sheetId="2" s="1" sqref="G197"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G198"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G199" t="inlineStr">
        <is>
          <t>Cu depunere continua, pe baza de liste proiecte preidentificate/09.06.2016/31.12.2017</t>
        </is>
      </nc>
      <ndxf>
        <font>
          <b/>
          <sz val="10"/>
          <color theme="1"/>
          <name val="Calibri"/>
          <scheme val="minor"/>
        </font>
        <alignment horizontal="center" vertical="center" wrapText="1" readingOrder="0"/>
        <border outline="0">
          <left style="thin">
            <color indexed="64"/>
          </left>
          <right style="thin">
            <color indexed="64"/>
          </right>
          <top style="thin">
            <color indexed="64"/>
          </top>
        </border>
      </ndxf>
    </rcc>
    <rfmt sheetId="2" sqref="G200" start="0" length="0">
      <dxf>
        <font>
          <b/>
          <sz val="10"/>
          <color theme="1"/>
          <name val="Calibri"/>
          <scheme val="minor"/>
        </font>
        <alignment horizontal="center" vertical="center" wrapText="1" readingOrder="0"/>
        <border outline="0">
          <left style="thin">
            <color indexed="64"/>
          </left>
          <right style="thin">
            <color indexed="64"/>
          </right>
          <bottom style="thin">
            <color indexed="64"/>
          </bottom>
        </border>
      </dxf>
    </rfmt>
    <rfmt sheetId="2" s="1" sqref="G201"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G202"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G203" start="0" length="0">
      <dxf>
        <font>
          <b/>
          <sz val="10"/>
          <color theme="1"/>
          <name val="Calibri"/>
          <scheme val="minor"/>
        </font>
        <fill>
          <patternFill patternType="solid">
            <bgColor theme="7" tint="0.59999389629810485"/>
          </patternFill>
        </fill>
        <border outline="0">
          <left style="thin">
            <color indexed="64"/>
          </left>
          <right style="thin">
            <color indexed="64"/>
          </right>
          <bottom style="medium">
            <color indexed="64"/>
          </bottom>
        </border>
      </dxf>
    </rfmt>
    <rfmt sheetId="2" sqref="G204" start="0" length="0">
      <dxf>
        <alignment horizontal="center" vertical="center" wrapText="1" readingOrder="0"/>
      </dxf>
    </rfmt>
    <rfmt sheetId="2" sqref="G207" start="0" length="0">
      <dxf/>
    </rfmt>
    <rfmt sheetId="2" sqref="G208" start="0" length="0">
      <dxf/>
    </rfmt>
    <rfmt sheetId="2" sqref="G209" start="0" length="0">
      <dxf/>
    </rfmt>
    <rfmt sheetId="2" sqref="G210" start="0" length="0">
      <dxf/>
    </rfmt>
    <rfmt sheetId="2" sqref="G211" start="0" length="0">
      <dxf/>
    </rfmt>
    <rfmt sheetId="2" sqref="G212" start="0" length="0">
      <dxf/>
    </rfmt>
    <rfmt sheetId="2" sqref="G213" start="0" length="0">
      <dxf/>
    </rfmt>
    <rfmt sheetId="2" sqref="G214" start="0" length="0">
      <dxf/>
    </rfmt>
    <rfmt sheetId="2" sqref="G216" start="0" length="0">
      <dxf>
        <alignment horizontal="center" vertical="center" wrapText="1" readingOrder="0"/>
      </dxf>
    </rfmt>
    <rfmt sheetId="2" sqref="G217" start="0" length="0">
      <dxf>
        <alignment horizontal="center" vertical="center" wrapText="1" readingOrder="0"/>
      </dxf>
    </rfmt>
    <rfmt sheetId="2" sqref="G218" start="0" length="0">
      <dxf>
        <alignment horizontal="center" vertical="center" wrapText="1" readingOrder="0"/>
      </dxf>
    </rfmt>
    <rfmt sheetId="2" sqref="G219" start="0" length="0">
      <dxf/>
    </rfmt>
  </rrc>
  <rrc rId="3297" sId="2" ref="F1:F1048576" action="deleteCol">
    <undo index="2" exp="area" ref3D="1" dr="$Q$1:$Q$1048576" dn="Z_B8EFA5E8_2E8C_450C_9395_D582737418AA_.wvu.Cols" sId="2"/>
    <undo index="1" exp="area" ref3D="1" dr="$E$1:$F$1048576" dn="Z_B8EFA5E8_2E8C_450C_9395_D582737418AA_.wvu.Cols" sId="2"/>
    <undo index="2" exp="area" ref3D="1" dr="$Q$1:$Q$1048576" dn="Z_E10820C0_32CD_441A_8635_65479FE7CBA3_.wvu.Cols" sId="2"/>
    <undo index="1" exp="area" ref3D="1" dr="$E$1:$F$1048576" dn="Z_E10820C0_32CD_441A_8635_65479FE7CBA3_.wvu.Cols" sId="2"/>
    <undo index="2" exp="area" ref3D="1" dr="$Q$1:$Q$1048576" dn="Z_E4462EA5_1112_4F42_BE37_A867D6FC853C_.wvu.Cols" sId="2"/>
    <undo index="1" exp="area" ref3D="1" dr="$E$1:$F$1048576" dn="Z_E4462EA5_1112_4F42_BE37_A867D6FC853C_.wvu.Cols" sId="2"/>
    <undo index="2" exp="area" ref3D="1" dr="$Q$1:$Q$1048576" dn="Z_E1C13DC2_98C2_4597_8D1A_C9F2C3CA60EC_.wvu.Cols" sId="2"/>
    <undo index="1" exp="area" ref3D="1" dr="$E$1:$F$1048576" dn="Z_E1C13DC2_98C2_4597_8D1A_C9F2C3CA60EC_.wvu.Cols" sId="2"/>
    <undo index="2" exp="area" ref3D="1" dr="$Q$1:$Q$1048576" dn="Z_83337B45_5054_4200_BF9E_4E1DC1896214_.wvu.Cols" sId="2"/>
    <undo index="1" exp="area" ref3D="1" dr="$E$1:$F$1048576" dn="Z_83337B45_5054_4200_BF9E_4E1DC1896214_.wvu.Cols" sId="2"/>
    <undo index="2" exp="area" ref3D="1" dr="$Q$1:$Q$1048576" dn="Z_79FA8BE5_7D13_4EF3_B35A_76ACF1C0DF3C_.wvu.Cols" sId="2"/>
    <undo index="1" exp="area" ref3D="1" dr="$E$1:$F$1048576" dn="Z_79FA8BE5_7D13_4EF3_B35A_76ACF1C0DF3C_.wvu.Cols" sId="2"/>
    <undo index="2" exp="area" ref3D="1" dr="$Q$1:$Q$1048576" dn="Z_9E851A6A_17B1_4E6F_A007_493445D427B8_.wvu.Cols" sId="2"/>
    <undo index="1" exp="area" ref3D="1" dr="$E$1:$F$1048576" dn="Z_9E851A6A_17B1_4E6F_A007_493445D427B8_.wvu.Cols" sId="2"/>
    <undo index="2" exp="area" ref3D="1" dr="$Q$1:$Q$1048576" dn="Z_DB90939E_72BD_4CED_BFB6_BD74FF913DB3_.wvu.Cols" sId="2"/>
    <undo index="1" exp="area" ref3D="1" dr="$E$1:$F$1048576" dn="Z_DB90939E_72BD_4CED_BFB6_BD74FF913DB3_.wvu.Cols" sId="2"/>
    <undo index="2" exp="area" ref3D="1" dr="$Q$1:$Q$1048576" dn="Z_ECCC7D97_A0C3_4C50_BA03_A8D24BCD22BE_.wvu.Cols" sId="2"/>
    <undo index="1" exp="area" ref3D="1" dr="$E$1:$F$1048576" dn="Z_ECCC7D97_A0C3_4C50_BA03_A8D24BCD22BE_.wvu.Cols" sId="2"/>
    <undo index="2" exp="area" ref3D="1" dr="$Q$1:$Q$1048576" dn="Z_64D2264B_4E86_4FBB_93B3_BEE727888DFE_.wvu.Cols" sId="2"/>
    <undo index="1" exp="area" ref3D="1" dr="$E$1:$F$1048576" dn="Z_64D2264B_4E86_4FBB_93B3_BEE727888DFE_.wvu.Cols" sId="2"/>
    <undo index="2" exp="area" ref3D="1" dr="$Q$1:$Q$1048576" dn="Z_413D6799_9F75_47FF_8A9E_5CB9283B7BBE_.wvu.Cols" sId="2"/>
    <undo index="1" exp="area" ref3D="1" dr="$E$1:$F$1048576" dn="Z_413D6799_9F75_47FF_8A9E_5CB9283B7BBE_.wvu.Cols" sId="2"/>
    <undo index="2" exp="area" ref3D="1" dr="$Q$1:$Q$1048576" dn="Z_61C44EA8_4687_4D4E_A1ED_359DF81A71FB_.wvu.Cols" sId="2"/>
    <undo index="1" exp="area" ref3D="1" dr="$E$1:$F$1048576" dn="Z_61C44EA8_4687_4D4E_A1ED_359DF81A71FB_.wvu.Cols" sId="2"/>
    <undo index="2" exp="area" ref3D="1" dr="$Q$1:$Q$1048576" dn="Z_437FD6EF_32B2_4DE0_BA89_93A7E3EF04C5_.wvu.Cols" sId="2"/>
    <undo index="1" exp="area" ref3D="1" dr="$E$1:$F$1048576" dn="Z_437FD6EF_32B2_4DE0_BA89_93A7E3EF04C5_.wvu.Cols" sId="2"/>
    <undo index="2" exp="area" ref3D="1" dr="$Q$1:$Q$1048576" dn="Z_0F598BC0_9523_4AD3_94A3_BDEC8367FE11_.wvu.Cols" sId="2"/>
    <undo index="1" exp="area" ref3D="1" dr="$E$1:$F$1048576" dn="Z_0F598BC0_9523_4AD3_94A3_BDEC8367FE11_.wvu.Cols" sId="2"/>
    <undo index="2" exp="area" ref3D="1" dr="$Q$1:$Q$1048576" dn="Z_3EBF2DB4_84D7_478D_9896_C4DA08B65D0C_.wvu.Cols" sId="2"/>
    <undo index="1" exp="area" ref3D="1" dr="$E$1:$F$1048576" dn="Z_3EBF2DB4_84D7_478D_9896_C4DA08B65D0C_.wvu.Cols" sId="2"/>
    <undo index="2" exp="area" ref3D="1" dr="$Q$1:$Q$1048576" dn="Z_216972B4_771A_4607_A8B4_AC73D5CD6C1A_.wvu.Cols" sId="2"/>
    <undo index="1" exp="area" ref3D="1" dr="$E$1:$F$1048576" dn="Z_216972B4_771A_4607_A8B4_AC73D5CD6C1A_.wvu.Cols" sId="2"/>
    <undo index="2" exp="area" ref3D="1" dr="$Q$1:$Q$1048576" dn="Z_2234C728_15E1_4BAF_98DE_620726961552_.wvu.Cols" sId="2"/>
    <undo index="1" exp="area" ref3D="1" dr="$E$1:$F$1048576" dn="Z_2234C728_15E1_4BAF_98DE_620726961552_.wvu.Cols" sId="2"/>
    <rfmt sheetId="2" xfDxf="1" sqref="F1:F1048576" start="0" length="0"/>
    <rfmt sheetId="2" sqref="F5" start="0" length="0">
      <dxf>
        <font>
          <b/>
          <sz val="10"/>
          <color auto="1"/>
          <name val="Calibri"/>
          <scheme val="minor"/>
        </font>
        <alignment horizontal="center" vertical="center" wrapText="1" readingOrder="0"/>
      </dxf>
    </rfmt>
    <rfmt sheetId="2" sqref="F6" start="0" length="0">
      <dxf>
        <font>
          <b/>
          <sz val="10"/>
          <color auto="1"/>
          <name val="Calibri"/>
          <scheme val="minor"/>
        </font>
        <alignment horizontal="center" vertical="center" wrapText="1" readingOrder="0"/>
      </dxf>
    </rfmt>
    <rfmt sheetId="2" sqref="F7" start="0" length="0">
      <dxf>
        <font>
          <b/>
          <sz val="10"/>
          <color auto="1"/>
          <name val="Calibri"/>
          <scheme val="minor"/>
        </font>
        <alignment horizontal="center" vertical="center" wrapText="1" readingOrder="0"/>
      </dxf>
    </rfmt>
    <rfmt sheetId="2" sqref="F8" start="0" length="0">
      <dxf>
        <font>
          <b/>
          <sz val="10"/>
          <color auto="1"/>
          <name val="Calibri"/>
          <scheme val="minor"/>
        </font>
        <alignment horizontal="center" vertical="center" wrapText="1" readingOrder="0"/>
      </dxf>
    </rfmt>
    <rcc rId="0" sId="2" dxf="1">
      <nc r="F9" t="inlineStr">
        <is>
          <t>Nr si data Contract de Finantare</t>
        </is>
      </nc>
      <ndxf>
        <font>
          <b/>
          <sz val="10"/>
          <color auto="1"/>
          <name val="Calibri"/>
          <scheme val="minor"/>
        </font>
        <alignment horizontal="center" vertical="center" wrapText="1" readingOrder="0"/>
        <border outline="0">
          <left style="thin">
            <color indexed="64"/>
          </left>
          <right style="thin">
            <color indexed="64"/>
          </right>
          <top style="medium">
            <color indexed="64"/>
          </top>
        </border>
      </ndxf>
    </rcc>
    <rfmt sheetId="2" sqref="F10" start="0" length="0">
      <dxf>
        <font>
          <b/>
          <sz val="10"/>
          <color auto="1"/>
          <name val="Calibri"/>
          <scheme val="minor"/>
        </font>
        <alignment horizontal="center" vertical="center" wrapText="1" readingOrder="0"/>
        <border outline="0">
          <left style="thin">
            <color indexed="64"/>
          </left>
          <right style="thin">
            <color indexed="64"/>
          </right>
        </border>
      </dxf>
    </rfmt>
    <rfmt sheetId="2" sqref="F11" start="0" length="0">
      <dxf>
        <font>
          <b/>
          <sz val="10"/>
          <color auto="1"/>
          <name val="Calibri"/>
          <scheme val="minor"/>
        </font>
        <alignment horizontal="center" vertical="center" wrapText="1" readingOrder="0"/>
        <border outline="0">
          <left style="thin">
            <color indexed="64"/>
          </left>
          <right style="thin">
            <color indexed="64"/>
          </right>
          <bottom style="medium">
            <color indexed="64"/>
          </bottom>
        </border>
      </dxf>
    </rfmt>
    <rfmt sheetId="2" sqref="F12"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13" t="inlineStr">
        <is>
          <t>82/20.07.2017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 t="inlineStr">
        <is>
          <t>89/21.07.2017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5" t="inlineStr">
        <is>
          <t>148/04.12.2017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qref="F16"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17" t="inlineStr">
        <is>
          <t>88/21.07.2017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8" t="inlineStr">
        <is>
          <t>95/25.07.2017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19" t="inlineStr">
        <is>
          <t>142/23.11.2017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20" t="inlineStr">
        <is>
          <t>145/27.11.2017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fmt sheetId="2" sqref="F21"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22" t="inlineStr">
        <is>
          <t>93/25.07.2017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23" t="inlineStr">
        <is>
          <t>94/25.07.2017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24" t="inlineStr">
        <is>
          <t>105/09.08.2017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25" t="inlineStr">
        <is>
          <t>149/04.12.2017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F26"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27"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28"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29" t="inlineStr">
        <is>
          <t>81/20.07.2017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0" t="inlineStr">
        <is>
          <t>83/20.07.2017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1" t="inlineStr">
        <is>
          <t>84/20.07.2017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2" t="inlineStr">
        <is>
          <t>85/21.07.2017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3" t="inlineStr">
        <is>
          <t>86/21.07.2017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4" t="inlineStr">
        <is>
          <t>90/21.07.2017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5" t="inlineStr">
        <is>
          <t>113/23.08.2017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36" t="inlineStr">
        <is>
          <t>114/23.08.2017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37" t="inlineStr">
        <is>
          <t>122/14.09.2017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38" t="inlineStr">
        <is>
          <t>144/27.11.2017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fmt sheetId="2" sqref="F39"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40" t="inlineStr">
        <is>
          <t>112/23.08.2017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41" t="inlineStr">
        <is>
          <t>123/21.09.2017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42" t="inlineStr">
        <is>
          <t>125/22.09.2017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fmt sheetId="2" sqref="F43"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44" t="inlineStr">
        <is>
          <r>
            <rPr>
              <b/>
              <sz val="10"/>
              <rFont val="Calibri"/>
              <family val="2"/>
              <charset val="238"/>
            </rPr>
            <t>32/17.03.2017</t>
          </r>
          <r>
            <rPr>
              <b/>
              <sz val="10"/>
              <color rgb="FFFF0000"/>
              <rFont val="Calibri"/>
              <family val="2"/>
              <charset val="238"/>
            </rPr>
            <t>/contract finalizat</t>
          </r>
        </is>
      </nc>
      <ndxf>
        <font>
          <b/>
          <sz val="10"/>
          <color rgb="FFFF0000"/>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fmt sheetId="2" sqref="F45"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46" t="inlineStr">
        <is>
          <t>119/11.09.2017</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47" t="inlineStr">
        <is>
          <t>120/14.09.2017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48" t="inlineStr">
        <is>
          <t>161/28.12.2017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49"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rder>
      </dxf>
    </rfmt>
    <rcc rId="0" sId="2" dxf="1">
      <nc r="F50" t="inlineStr">
        <is>
          <t>101/09.08.2017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51" t="inlineStr">
        <is>
          <t>102/09.08.2017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52" t="inlineStr">
        <is>
          <t>103/09.08.2017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53" t="inlineStr">
        <is>
          <t>104/09.08.2017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54" t="inlineStr">
        <is>
          <t>87/21.07.2017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55"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56"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57"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58" t="inlineStr">
        <is>
          <t>02/04.10.2016</t>
        </is>
      </nc>
      <ndxf>
        <font>
          <b/>
          <sz val="10"/>
          <color rgb="FF444444"/>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2" dxf="1">
      <nc r="F59" t="inlineStr">
        <is>
          <t>06/25.11.2016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0" t="inlineStr">
        <is>
          <t>10/16.12.2016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1" t="inlineStr">
        <is>
          <t>25/09.02.2017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2" t="inlineStr">
        <is>
          <t>28/14.02.2017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3" t="inlineStr">
        <is>
          <t>45/28.04.2017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4" t="inlineStr">
        <is>
          <t>46/03.05.2017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5" t="inlineStr">
        <is>
          <t>69/30.06.2017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6" t="inlineStr">
        <is>
          <t>72/07.06.2017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7" t="inlineStr">
        <is>
          <t>80/29.06.2017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8" t="inlineStr">
        <is>
          <t>91/24.07.2017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9" t="inlineStr">
        <is>
          <t>96/28.07.2017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0" t="inlineStr">
        <is>
          <t>124/21.09.2017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1" t="inlineStr">
        <is>
          <t>137/26.10.2017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2" t="inlineStr">
        <is>
          <t>141/20.11.2017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3" t="inlineStr">
        <is>
          <t>147/21.11.2017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4" t="inlineStr">
        <is>
          <t>153/11.12.2017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F75"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76" t="inlineStr">
        <is>
          <t>3/11.10.2016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7" t="inlineStr">
        <is>
          <t>4/19.10.2016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8" t="inlineStr">
        <is>
          <t>5/08.11.2016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9" t="inlineStr">
        <is>
          <t>7/05.12.2016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0" t="inlineStr">
        <is>
          <t>8/06.12..2016</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1" t="inlineStr">
        <is>
          <t>9/15.12.2016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2" t="inlineStr">
        <is>
          <t>11/20.12.2016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3" t="inlineStr">
        <is>
          <t>12/21.12.2016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4" t="inlineStr">
        <is>
          <t>13/22.12.2016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5" t="inlineStr">
        <is>
          <t>15/27.12.2016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6" t="inlineStr">
        <is>
          <t>16/30.12.2016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7" t="inlineStr">
        <is>
          <t>17/30.12.2016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8" t="inlineStr">
        <is>
          <t>18/03.01.2017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9" t="inlineStr">
        <is>
          <t>19/06.02.2017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0" t="inlineStr">
        <is>
          <t>20/06.02.2017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1" t="inlineStr">
        <is>
          <t>21/06.02.2017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2" t="inlineStr">
        <is>
          <t>22/08.02.2017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3" t="inlineStr">
        <is>
          <t>23/08.02.2017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4" t="inlineStr">
        <is>
          <t>24/09.02.2017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5" t="inlineStr">
        <is>
          <t>36/09.02.2017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6" t="inlineStr">
        <is>
          <t>27/13.02.2017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7" t="inlineStr">
        <is>
          <t>29/16.02.2017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8" t="inlineStr">
        <is>
          <t>30/16.02.2017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9" t="inlineStr">
        <is>
          <t>31/17.03.2017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0" t="inlineStr">
        <is>
          <t>33/30.03.2017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1" t="inlineStr">
        <is>
          <t>35/31.03.2017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2" t="inlineStr">
        <is>
          <t>34/30.03.2017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3" t="inlineStr">
        <is>
          <t>36/04.04.2017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4" t="inlineStr">
        <is>
          <t>37/04.04.2017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5" t="inlineStr">
        <is>
          <t>39/11.04.2017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6" t="inlineStr">
        <is>
          <t>40/12.04.2017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7" t="inlineStr">
        <is>
          <t>42/13.04.2017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8" t="inlineStr">
        <is>
          <t>41/13.04.2017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9" t="inlineStr">
        <is>
          <t>43/25.04.2017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0" t="inlineStr">
        <is>
          <t>44/26.04.2017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1" t="inlineStr">
        <is>
          <t>49/05.05.2017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2" t="inlineStr">
        <is>
          <t>53/09.05.2017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3" t="inlineStr">
        <is>
          <t>55/18.05.2017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4" t="inlineStr">
        <is>
          <t>57/19.05.2017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5" t="inlineStr">
        <is>
          <t>58/23.05.2017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6" t="inlineStr">
        <is>
          <t>61/24.05.2017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7" t="inlineStr">
        <is>
          <t>62/26.05.2017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8" t="inlineStr">
        <is>
          <t>63/26.05.2017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9" t="inlineStr">
        <is>
          <t>67/29.05.2017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0" t="inlineStr">
        <is>
          <t>68/30.05.2017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1" t="inlineStr">
        <is>
          <t>71/31.05.2017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2" t="inlineStr">
        <is>
          <t>73/12.06.2017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19">
      <nc r="F123">
        <v>42948</v>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4" t="inlineStr">
        <is>
          <t>97/01.08.2017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5" t="inlineStr">
        <is>
          <t>106/11.08.2017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6" t="inlineStr">
        <is>
          <t>109/16.08.2017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7" t="inlineStr">
        <is>
          <t>110/16.08.2017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8" t="inlineStr">
        <is>
          <t>116/31.08,2017</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9" t="inlineStr">
        <is>
          <t>118/11.09.2017</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0" t="inlineStr">
        <is>
          <t>121/14.09.2017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1" t="inlineStr">
        <is>
          <t>126/27.09.2017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2" t="inlineStr">
        <is>
          <t>128/02.10.2017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3" t="inlineStr">
        <is>
          <t>135/26.10.2017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4" t="inlineStr">
        <is>
          <t>136/26.10.1974</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5" t="inlineStr">
        <is>
          <t>138/31.10.2017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6" t="inlineStr">
        <is>
          <t>139/31.10.2017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7" t="inlineStr">
        <is>
          <t>140/16.11.2017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8" t="inlineStr">
        <is>
          <t>143/23,11,2017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9" t="inlineStr">
        <is>
          <t>150/08.12.2017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0" t="inlineStr">
        <is>
          <t>156/18.12.2017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1" t="inlineStr">
        <is>
          <t>158/20.12.2017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F142"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43"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44"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145" t="inlineStr">
        <is>
          <t>48/03.05.2017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6" t="inlineStr">
        <is>
          <t>47/03.05.2017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7" t="inlineStr">
        <is>
          <t>50/05.05.2017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8" t="inlineStr">
        <is>
          <t>52/08.05.2017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9" t="inlineStr">
        <is>
          <t>51/08.05.2017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0" t="inlineStr">
        <is>
          <t>54/11.05.2017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1" t="inlineStr">
        <is>
          <t>56/19.05.2017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2" t="inlineStr">
        <is>
          <t>59/23.05.2017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3" t="inlineStr">
        <is>
          <t>60/25.05.2017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4" t="inlineStr">
        <is>
          <t>64/26.05.2017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5" t="inlineStr">
        <is>
          <t>66/29.05.2017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56" t="inlineStr">
        <is>
          <t>65/29.05.2017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57" t="inlineStr">
        <is>
          <t>70/30.05.2017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58" t="inlineStr">
        <is>
          <t>74/13.06.2017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59" t="inlineStr">
        <is>
          <t>76/21.06.2017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0" t="inlineStr">
        <is>
          <t>77/21.06.2017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1" t="inlineStr">
        <is>
          <t>78/23.06.2017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2" t="inlineStr">
        <is>
          <t>79/23.06.2017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3" t="inlineStr">
        <is>
          <t>95/26.07.2017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4" t="inlineStr">
        <is>
          <t>98/01.08.2017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5" t="inlineStr">
        <is>
          <t>99/01.08.2017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6" t="inlineStr">
        <is>
          <t>107/10.08.2017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7" t="inlineStr">
        <is>
          <t>108/17.08.2017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8" t="inlineStr">
        <is>
          <t>111/18.08.2017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9" t="inlineStr">
        <is>
          <t>115/23.08.2017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0" t="inlineStr">
        <is>
          <t>117/08.09.2017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1" t="inlineStr">
        <is>
          <t>129/02.10.2017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2" t="inlineStr">
        <is>
          <t>131/12.10.2017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3" t="inlineStr">
        <is>
          <t>132/26.10.2017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4" t="inlineStr">
        <is>
          <t>133/26.10.2017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5" t="inlineStr">
        <is>
          <t>134/26.10.2017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6" t="inlineStr">
        <is>
          <t>146/28.11.2017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7" t="inlineStr">
        <is>
          <t>160/22.12.2017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fmt sheetId="2" s="1" sqref="F178"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179" t="inlineStr">
        <is>
          <t>75/19.06.2017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80" t="inlineStr">
        <is>
          <t>127/28.09.2017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fmt sheetId="2" s="1" sqref="F181"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82"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83"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c r="F184" t="inlineStr">
        <is>
          <t>154/13.12.2017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85" t="inlineStr">
        <is>
          <t>157/19.12.2017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fmt sheetId="2" s="1" sqref="F186"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cc rId="0" sId="2" dxf="1">
      <nc r="F187" t="inlineStr">
        <is>
          <r>
            <rPr>
              <b/>
              <sz val="10"/>
              <rFont val="Calibri"/>
              <family val="2"/>
              <charset val="238"/>
            </rPr>
            <t>01/ 02.09.2016,</t>
          </r>
          <r>
            <rPr>
              <b/>
              <sz val="10"/>
              <color rgb="FFFF0000"/>
              <rFont val="Calibri"/>
              <family val="2"/>
              <charset val="238"/>
            </rPr>
            <t xml:space="preserve"> contract finalizat</t>
          </r>
        </is>
      </nc>
      <ndxf>
        <font>
          <b/>
          <sz val="10"/>
          <color rgb="FFFF0000"/>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88" t="inlineStr">
        <is>
          <t>14/22.12.2016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F189"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F190"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91"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top style="thin">
            <color indexed="64"/>
          </top>
        </border>
      </dxf>
    </rfmt>
    <rcc rId="0" sId="2" dxf="1">
      <nc r="F192" t="inlineStr">
        <is>
          <t>155/18.12.2017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F193"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dxf>
    </rfmt>
    <rcc rId="0" sId="2" dxf="1">
      <nc r="F194" t="inlineStr">
        <is>
          <t>151/08.12.2017</t>
        </is>
      </nc>
      <ndxf>
        <font>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195" t="inlineStr">
        <is>
          <t>152/08.12.2017</t>
        </is>
      </nc>
      <ndxf>
        <font>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196" t="inlineStr">
        <is>
          <t>159/21.12.2017</t>
        </is>
      </nc>
      <ndxf>
        <font>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1" sqref="F197"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F198"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199" t="inlineStr">
        <is>
          <t>38/11.04.2017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200" t="inlineStr">
        <is>
          <t>130/05.10.2017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fmt sheetId="2" s="1" sqref="F201"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F202"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203" start="0" length="0">
      <dxf>
        <font>
          <b/>
          <sz val="10"/>
          <color theme="1"/>
          <name val="Calibri"/>
          <scheme val="minor"/>
        </font>
        <fill>
          <patternFill patternType="solid">
            <bgColor theme="7" tint="0.59999389629810485"/>
          </patternFill>
        </fill>
        <border outline="0">
          <left style="thin">
            <color indexed="64"/>
          </left>
          <right style="thin">
            <color indexed="64"/>
          </right>
          <bottom style="medium">
            <color indexed="64"/>
          </bottom>
        </border>
      </dxf>
    </rfmt>
    <rfmt sheetId="2" sqref="F204" start="0" length="0">
      <dxf>
        <font>
          <sz val="10"/>
          <color theme="1"/>
          <name val="Calibri"/>
          <scheme val="minor"/>
        </font>
      </dxf>
    </rfmt>
    <rfmt sheetId="2" sqref="F205" start="0" length="0">
      <dxf/>
    </rfmt>
    <rfmt sheetId="2" sqref="F206" start="0" length="0">
      <dxf/>
    </rfmt>
    <rfmt sheetId="2" sqref="F207" start="0" length="0">
      <dxf/>
    </rfmt>
    <rfmt sheetId="2" sqref="F208" start="0" length="0">
      <dxf/>
    </rfmt>
    <rfmt sheetId="2" sqref="F209" start="0" length="0">
      <dxf/>
    </rfmt>
    <rfmt sheetId="2" sqref="F210" start="0" length="0">
      <dxf/>
    </rfmt>
    <rfmt sheetId="2" sqref="F211" start="0" length="0">
      <dxf/>
    </rfmt>
    <rfmt sheetId="2" sqref="F212" start="0" length="0">
      <dxf/>
    </rfmt>
    <rfmt sheetId="2" sqref="F213" start="0" length="0">
      <dxf/>
    </rfmt>
    <rfmt sheetId="2" sqref="F214" start="0" length="0">
      <dxf/>
    </rfmt>
    <rfmt sheetId="2" sqref="F215" start="0" length="0">
      <dxf/>
    </rfmt>
    <rfmt sheetId="2" sqref="F216" start="0" length="0">
      <dxf>
        <font>
          <sz val="11"/>
          <color auto="1"/>
          <name val="Calibri"/>
          <scheme val="minor"/>
        </font>
      </dxf>
    </rfmt>
    <rfmt sheetId="2" sqref="F217" start="0" length="0">
      <dxf>
        <font>
          <sz val="11"/>
          <color auto="1"/>
          <name val="Calibri"/>
          <scheme val="minor"/>
        </font>
      </dxf>
    </rfmt>
    <rfmt sheetId="2" sqref="F218" start="0" length="0">
      <dxf/>
    </rfmt>
    <rfmt sheetId="2" sqref="F219" start="0" length="0">
      <dxf/>
    </rfmt>
  </rr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37" sId="2">
    <oc r="R6">
      <f>+R20/4.6</f>
    </oc>
    <nc r="R6"/>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98" sId="2">
    <oc r="F7">
      <v>4.6520000000000001</v>
    </oc>
    <nc r="F7"/>
  </rcc>
  <rcc rId="3299" sId="2">
    <oc r="X206">
      <f>+X203+Y203</f>
    </oc>
    <nc r="X206"/>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8ABD1B6-502E-42CC-A0EF-58776D0102FE}" action="delete"/>
  <rdn rId="0" localSheetId="2" customView="1" name="Z_08ABD1B6_502E_42CC_A0EF_58776D0102FE_.wvu.FilterData" hidden="1" oldHidden="1">
    <formula>'Contracte semnate'!$B$7:$AB$203</formula>
    <oldFormula>'Contracte semnate'!$B$7:$AB$203</oldFormula>
  </rdn>
  <rcv guid="{08ABD1B6-502E-42CC-A0EF-58776D0102FE}"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01" sId="2">
    <oc r="C9" t="inlineStr">
      <is>
        <t>Axă prioritară/Prioritate de investiţii/Obiectiv specific</t>
      </is>
    </oc>
    <nc r="C9" t="inlineStr">
      <is>
        <t>Priority Axis / Investment Priority / Specific Objective</t>
      </is>
    </nc>
  </rcc>
  <rcv guid="{08ABD1B6-502E-42CC-A0EF-58776D0102FE}" action="delete"/>
  <rdn rId="0" localSheetId="2" customView="1" name="Z_08ABD1B6_502E_42CC_A0EF_58776D0102FE_.wvu.FilterData" hidden="1" oldHidden="1">
    <formula>'Contracte semnate'!$B$7:$AB$203</formula>
    <oldFormula>'Contracte semnate'!$B$7:$AB$203</oldFormula>
  </rdn>
  <rcv guid="{08ABD1B6-502E-42CC-A0EF-58776D0102F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D221"/>
  <sheetViews>
    <sheetView tabSelected="1" zoomScaleNormal="100" workbookViewId="0">
      <selection activeCell="G5" sqref="G5"/>
    </sheetView>
  </sheetViews>
  <sheetFormatPr defaultColWidth="9.140625" defaultRowHeight="15" x14ac:dyDescent="0.25"/>
  <cols>
    <col min="1" max="1" width="4.85546875" style="2" customWidth="1"/>
    <col min="2" max="2" width="8" style="8" customWidth="1"/>
    <col min="3" max="3" width="33.7109375" style="2" customWidth="1"/>
    <col min="4" max="4" width="40.28515625" style="2" customWidth="1"/>
    <col min="5" max="5" width="12.42578125" style="8" customWidth="1"/>
    <col min="6" max="6" width="17.7109375" style="2" customWidth="1"/>
    <col min="7" max="7" width="69.7109375" style="8" customWidth="1"/>
    <col min="8" max="8" width="18" style="8" customWidth="1"/>
    <col min="9" max="9" width="16.7109375" style="8" customWidth="1"/>
    <col min="10" max="11" width="12.28515625" style="8" customWidth="1"/>
    <col min="12" max="12" width="15.7109375" style="8" customWidth="1"/>
    <col min="13" max="13" width="14.28515625" style="8" customWidth="1"/>
    <col min="14" max="14" width="14.5703125" style="8" customWidth="1"/>
    <col min="15" max="15" width="16.28515625" style="8" customWidth="1"/>
    <col min="16" max="16" width="16.85546875" style="8" customWidth="1"/>
    <col min="17" max="17" width="23.140625" style="8" customWidth="1"/>
    <col min="18" max="18" width="24.5703125" style="2" customWidth="1"/>
    <col min="19" max="19" width="22.28515625" style="2" customWidth="1"/>
    <col min="20" max="20" width="20.140625" style="2" customWidth="1"/>
    <col min="21" max="21" width="20.42578125" style="2" customWidth="1"/>
    <col min="22" max="22" width="20.85546875" style="2" customWidth="1"/>
    <col min="23" max="23" width="21.42578125" style="2" customWidth="1"/>
    <col min="24" max="24" width="18.28515625" style="8" customWidth="1"/>
    <col min="25" max="25" width="22.42578125" style="9" customWidth="1"/>
    <col min="26" max="26" width="21" style="2" customWidth="1"/>
    <col min="27" max="27" width="23.28515625" style="2" customWidth="1"/>
    <col min="28" max="28" width="30.7109375" style="2" customWidth="1"/>
    <col min="29" max="29" width="25.140625" style="2" customWidth="1"/>
    <col min="30" max="30" width="23.140625" style="2" customWidth="1"/>
    <col min="31" max="16384" width="9.140625" style="2"/>
  </cols>
  <sheetData>
    <row r="2" spans="1:28" x14ac:dyDescent="0.25">
      <c r="C2" s="8"/>
      <c r="D2" s="8"/>
      <c r="F2" s="8"/>
      <c r="R2" s="8"/>
      <c r="S2" s="8"/>
      <c r="T2" s="8"/>
      <c r="U2" s="8"/>
      <c r="V2" s="8"/>
      <c r="W2" s="8"/>
    </row>
    <row r="3" spans="1:28" x14ac:dyDescent="0.25">
      <c r="C3" s="8"/>
      <c r="D3" s="98"/>
      <c r="F3" s="8"/>
      <c r="R3" s="8"/>
      <c r="S3" s="8"/>
      <c r="T3" s="8"/>
      <c r="U3" s="8"/>
      <c r="V3" s="8"/>
      <c r="W3" s="8"/>
    </row>
    <row r="4" spans="1:28" ht="15.75" customHeight="1" x14ac:dyDescent="0.25">
      <c r="A4" s="3"/>
      <c r="C4" s="8"/>
      <c r="D4" s="8"/>
      <c r="F4" s="8"/>
      <c r="R4" s="8"/>
      <c r="S4" s="8"/>
      <c r="T4" s="8"/>
      <c r="U4" s="8"/>
      <c r="V4" s="8"/>
      <c r="W4" s="8"/>
    </row>
    <row r="5" spans="1:28" ht="43.5" customHeight="1" x14ac:dyDescent="0.25">
      <c r="A5" s="3"/>
      <c r="B5" s="19"/>
      <c r="C5" s="13"/>
      <c r="E5" s="19"/>
      <c r="F5" s="19"/>
      <c r="G5" s="18" t="s">
        <v>733</v>
      </c>
      <c r="H5" s="19"/>
      <c r="I5" s="19"/>
      <c r="J5" s="19"/>
      <c r="K5" s="19"/>
      <c r="L5" s="19"/>
      <c r="M5" s="19"/>
      <c r="N5" s="19"/>
      <c r="O5" s="19"/>
      <c r="P5" s="19"/>
      <c r="R5" s="19"/>
      <c r="S5" s="8"/>
      <c r="T5" s="26"/>
      <c r="U5" s="19"/>
      <c r="V5" s="19"/>
      <c r="W5" s="19"/>
      <c r="X5" s="92"/>
      <c r="Z5" s="9"/>
      <c r="AA5" s="9"/>
    </row>
    <row r="6" spans="1:28" ht="15.75" customHeight="1" x14ac:dyDescent="0.25">
      <c r="A6" s="3"/>
      <c r="B6" s="19"/>
      <c r="C6" s="18"/>
      <c r="D6" s="19"/>
      <c r="E6" s="19"/>
      <c r="F6" s="19"/>
      <c r="G6" s="19"/>
      <c r="H6" s="19"/>
      <c r="I6" s="19"/>
      <c r="J6" s="19"/>
      <c r="K6" s="19"/>
      <c r="L6" s="19"/>
      <c r="M6" s="19"/>
      <c r="N6" s="19"/>
      <c r="O6" s="19"/>
      <c r="P6" s="19"/>
      <c r="Q6" s="26"/>
      <c r="R6" s="156"/>
      <c r="S6" s="156"/>
      <c r="T6" s="156"/>
      <c r="U6" s="8"/>
      <c r="V6" s="19"/>
      <c r="W6" s="19"/>
      <c r="X6" s="9"/>
      <c r="Y6" s="21"/>
      <c r="Z6" s="21"/>
      <c r="AA6" s="21"/>
    </row>
    <row r="7" spans="1:28" ht="15.75" customHeight="1" x14ac:dyDescent="0.25">
      <c r="A7" s="3"/>
      <c r="B7" s="19"/>
      <c r="C7" s="19"/>
      <c r="D7" s="19"/>
      <c r="E7" s="19"/>
      <c r="F7" s="19"/>
      <c r="G7" s="19"/>
      <c r="H7" s="19"/>
      <c r="I7" s="19"/>
      <c r="J7" s="19"/>
      <c r="K7" s="19"/>
      <c r="L7" s="19"/>
      <c r="M7" s="19"/>
      <c r="N7" s="19"/>
      <c r="O7" s="19"/>
      <c r="P7" s="19"/>
      <c r="Q7" s="26"/>
      <c r="R7" s="19"/>
      <c r="S7" s="8"/>
      <c r="T7" s="19"/>
      <c r="U7" s="19"/>
      <c r="V7" s="19"/>
      <c r="W7" s="19"/>
      <c r="X7" s="19"/>
      <c r="Y7" s="119"/>
      <c r="Z7" s="119"/>
      <c r="AA7" s="21"/>
    </row>
    <row r="8" spans="1:28" ht="15.75" thickBot="1" x14ac:dyDescent="0.3">
      <c r="A8" s="3"/>
      <c r="B8" s="4"/>
      <c r="C8" s="27" t="s">
        <v>707</v>
      </c>
      <c r="D8" s="19"/>
      <c r="E8" s="19"/>
      <c r="F8" s="19"/>
      <c r="G8" s="19"/>
      <c r="H8" s="19"/>
      <c r="I8" s="19"/>
      <c r="J8" s="19"/>
      <c r="K8" s="19"/>
      <c r="L8" s="19"/>
      <c r="M8" s="19"/>
      <c r="N8" s="19"/>
      <c r="O8" s="19"/>
      <c r="P8" s="19"/>
      <c r="Q8" s="19"/>
      <c r="R8" s="19"/>
      <c r="S8" s="19"/>
      <c r="T8" s="19"/>
      <c r="U8" s="19"/>
      <c r="V8" s="19"/>
      <c r="W8" s="19" t="s">
        <v>223</v>
      </c>
      <c r="X8" s="39"/>
      <c r="Y8" s="119"/>
      <c r="Z8" s="119"/>
      <c r="AA8" s="21"/>
    </row>
    <row r="9" spans="1:28" ht="26.25" customHeight="1" x14ac:dyDescent="0.25">
      <c r="B9" s="225" t="s">
        <v>49</v>
      </c>
      <c r="C9" s="207" t="s">
        <v>708</v>
      </c>
      <c r="D9" s="207" t="s">
        <v>709</v>
      </c>
      <c r="E9" s="216" t="s">
        <v>209</v>
      </c>
      <c r="F9" s="207" t="s">
        <v>710</v>
      </c>
      <c r="G9" s="219" t="s">
        <v>711</v>
      </c>
      <c r="H9" s="219" t="s">
        <v>712</v>
      </c>
      <c r="I9" s="219" t="s">
        <v>713</v>
      </c>
      <c r="J9" s="216" t="s">
        <v>714</v>
      </c>
      <c r="K9" s="204"/>
      <c r="L9" s="216" t="s">
        <v>715</v>
      </c>
      <c r="M9" s="216" t="s">
        <v>716</v>
      </c>
      <c r="N9" s="216" t="s">
        <v>717</v>
      </c>
      <c r="O9" s="216" t="s">
        <v>718</v>
      </c>
      <c r="P9" s="219" t="s">
        <v>719</v>
      </c>
      <c r="Q9" s="216" t="s">
        <v>720</v>
      </c>
      <c r="R9" s="239" t="s">
        <v>721</v>
      </c>
      <c r="S9" s="239"/>
      <c r="T9" s="239"/>
      <c r="U9" s="20"/>
      <c r="V9" s="236" t="s">
        <v>726</v>
      </c>
      <c r="W9" s="231" t="s">
        <v>729</v>
      </c>
      <c r="X9" s="222" t="s">
        <v>730</v>
      </c>
      <c r="Y9" s="210" t="s">
        <v>732</v>
      </c>
      <c r="Z9" s="211"/>
      <c r="AA9" s="21"/>
    </row>
    <row r="10" spans="1:28" ht="24.75" customHeight="1" x14ac:dyDescent="0.25">
      <c r="B10" s="226"/>
      <c r="C10" s="208"/>
      <c r="D10" s="208"/>
      <c r="E10" s="217"/>
      <c r="F10" s="208"/>
      <c r="G10" s="220"/>
      <c r="H10" s="220"/>
      <c r="I10" s="220"/>
      <c r="J10" s="217"/>
      <c r="K10" s="205" t="s">
        <v>727</v>
      </c>
      <c r="L10" s="217"/>
      <c r="M10" s="217"/>
      <c r="N10" s="217"/>
      <c r="O10" s="217"/>
      <c r="P10" s="220"/>
      <c r="Q10" s="217"/>
      <c r="R10" s="234" t="s">
        <v>722</v>
      </c>
      <c r="S10" s="234"/>
      <c r="T10" s="234" t="s">
        <v>724</v>
      </c>
      <c r="U10" s="234" t="s">
        <v>725</v>
      </c>
      <c r="V10" s="237"/>
      <c r="W10" s="232"/>
      <c r="X10" s="223"/>
      <c r="Y10" s="212" t="s">
        <v>723</v>
      </c>
      <c r="Z10" s="214" t="s">
        <v>731</v>
      </c>
      <c r="AA10" s="21"/>
    </row>
    <row r="11" spans="1:28" ht="34.5" customHeight="1" thickBot="1" x14ac:dyDescent="0.3">
      <c r="B11" s="227"/>
      <c r="C11" s="209"/>
      <c r="D11" s="209"/>
      <c r="E11" s="218"/>
      <c r="F11" s="209"/>
      <c r="G11" s="221"/>
      <c r="H11" s="221"/>
      <c r="I11" s="221"/>
      <c r="J11" s="218"/>
      <c r="K11" s="206"/>
      <c r="L11" s="218"/>
      <c r="M11" s="218"/>
      <c r="N11" s="218"/>
      <c r="O11" s="218"/>
      <c r="P11" s="221"/>
      <c r="Q11" s="218"/>
      <c r="R11" s="117" t="s">
        <v>723</v>
      </c>
      <c r="S11" s="117" t="s">
        <v>731</v>
      </c>
      <c r="T11" s="235"/>
      <c r="U11" s="235"/>
      <c r="V11" s="238"/>
      <c r="W11" s="233"/>
      <c r="X11" s="224"/>
      <c r="Y11" s="213"/>
      <c r="Z11" s="215"/>
      <c r="AA11" s="21"/>
    </row>
    <row r="12" spans="1:28" s="8" customFormat="1" ht="22.5" customHeight="1" x14ac:dyDescent="0.25">
      <c r="B12" s="73"/>
      <c r="C12" s="29" t="s">
        <v>152</v>
      </c>
      <c r="D12" s="29"/>
      <c r="E12" s="29"/>
      <c r="F12" s="29"/>
      <c r="G12" s="29"/>
      <c r="H12" s="29"/>
      <c r="I12" s="29"/>
      <c r="J12" s="29"/>
      <c r="K12" s="29"/>
      <c r="L12" s="29"/>
      <c r="M12" s="29"/>
      <c r="N12" s="29"/>
      <c r="O12" s="29"/>
      <c r="P12" s="29"/>
      <c r="Q12" s="29"/>
      <c r="R12" s="29"/>
      <c r="S12" s="29"/>
      <c r="T12" s="29"/>
      <c r="U12" s="29"/>
      <c r="V12" s="29"/>
      <c r="W12" s="29"/>
      <c r="X12" s="29"/>
      <c r="Y12" s="29"/>
      <c r="Z12" s="74"/>
      <c r="AA12" s="21"/>
    </row>
    <row r="13" spans="1:28" s="8" customFormat="1" ht="47.25" customHeight="1" x14ac:dyDescent="0.25">
      <c r="B13" s="75">
        <v>1</v>
      </c>
      <c r="C13" s="228" t="s">
        <v>153</v>
      </c>
      <c r="D13" s="7" t="s">
        <v>611</v>
      </c>
      <c r="E13" s="37">
        <v>110647</v>
      </c>
      <c r="F13" s="114" t="s">
        <v>150</v>
      </c>
      <c r="G13" s="120" t="s">
        <v>295</v>
      </c>
      <c r="H13" s="101" t="s">
        <v>296</v>
      </c>
      <c r="I13" s="101">
        <v>43822</v>
      </c>
      <c r="J13" s="96">
        <v>0.75</v>
      </c>
      <c r="K13" s="96" t="s">
        <v>728</v>
      </c>
      <c r="L13" s="10" t="s">
        <v>484</v>
      </c>
      <c r="M13" s="10" t="s">
        <v>485</v>
      </c>
      <c r="N13" s="10"/>
      <c r="O13" s="10" t="s">
        <v>251</v>
      </c>
      <c r="P13" s="10" t="s">
        <v>600</v>
      </c>
      <c r="Q13" s="63">
        <f>+R13+S13+T13</f>
        <v>54301526.629999995</v>
      </c>
      <c r="R13" s="63">
        <v>40726144.969999999</v>
      </c>
      <c r="S13" s="63">
        <v>0</v>
      </c>
      <c r="T13" s="63">
        <v>13575381.66</v>
      </c>
      <c r="U13" s="63">
        <v>27375968.289999999</v>
      </c>
      <c r="V13" s="63">
        <v>0</v>
      </c>
      <c r="W13" s="63">
        <f>+R13+S13+T13+U13+V13</f>
        <v>81677494.919999987</v>
      </c>
      <c r="X13" s="63" t="s">
        <v>254</v>
      </c>
      <c r="Y13" s="41">
        <v>0</v>
      </c>
      <c r="Z13" s="76">
        <v>0</v>
      </c>
    </row>
    <row r="14" spans="1:28" s="8" customFormat="1" ht="156.75" customHeight="1" x14ac:dyDescent="0.25">
      <c r="B14" s="75">
        <f>+B13+1</f>
        <v>2</v>
      </c>
      <c r="C14" s="230"/>
      <c r="D14" s="7" t="s">
        <v>612</v>
      </c>
      <c r="E14" s="7">
        <v>110562</v>
      </c>
      <c r="F14" s="10" t="s">
        <v>150</v>
      </c>
      <c r="G14" s="120" t="s">
        <v>278</v>
      </c>
      <c r="H14" s="101">
        <v>41640</v>
      </c>
      <c r="I14" s="101">
        <v>44256</v>
      </c>
      <c r="J14" s="96">
        <v>0.75</v>
      </c>
      <c r="K14" s="96" t="s">
        <v>728</v>
      </c>
      <c r="L14" s="10" t="s">
        <v>484</v>
      </c>
      <c r="M14" s="10" t="s">
        <v>485</v>
      </c>
      <c r="N14" s="10" t="s">
        <v>276</v>
      </c>
      <c r="O14" s="10" t="s">
        <v>251</v>
      </c>
      <c r="P14" s="10" t="s">
        <v>600</v>
      </c>
      <c r="Q14" s="63">
        <f t="shared" ref="Q14:Q94" si="0">+R14+S14+T14</f>
        <v>1988825344.78</v>
      </c>
      <c r="R14" s="63">
        <v>1491619008.5799999</v>
      </c>
      <c r="S14" s="63">
        <v>0</v>
      </c>
      <c r="T14" s="63">
        <v>497206336.19999999</v>
      </c>
      <c r="U14" s="63">
        <v>0</v>
      </c>
      <c r="V14" s="63">
        <v>491208525</v>
      </c>
      <c r="W14" s="63">
        <f>+R14+S14+T14+U14+V14</f>
        <v>2480033869.7799997</v>
      </c>
      <c r="X14" s="63" t="s">
        <v>254</v>
      </c>
      <c r="Y14" s="41">
        <v>431797742.69</v>
      </c>
      <c r="Z14" s="41">
        <v>143932580.88999999</v>
      </c>
    </row>
    <row r="15" spans="1:28" s="8" customFormat="1" ht="174.75" customHeight="1" x14ac:dyDescent="0.25">
      <c r="B15" s="165">
        <v>3</v>
      </c>
      <c r="C15" s="164" t="str">
        <f>$C$13</f>
        <v>Axa Prioritară 1:  Imbunatatirea mobilitatii prin dezvoltarea retelei TEN-T si a Metroului. Obiectivul specific. 1.1 Cresterea mobilității pe rețeaua rutieră TENT
centrală</v>
      </c>
      <c r="D15" s="7" t="s">
        <v>642</v>
      </c>
      <c r="E15" s="7">
        <v>115748</v>
      </c>
      <c r="F15" s="10" t="s">
        <v>150</v>
      </c>
      <c r="G15" s="122" t="s">
        <v>664</v>
      </c>
      <c r="H15" s="101" t="s">
        <v>643</v>
      </c>
      <c r="I15" s="101">
        <v>43769</v>
      </c>
      <c r="J15" s="96">
        <v>0.75</v>
      </c>
      <c r="K15" s="96" t="s">
        <v>728</v>
      </c>
      <c r="L15" s="10" t="s">
        <v>486</v>
      </c>
      <c r="M15" s="10" t="s">
        <v>503</v>
      </c>
      <c r="N15" s="10"/>
      <c r="O15" s="10" t="s">
        <v>251</v>
      </c>
      <c r="P15" s="10" t="s">
        <v>600</v>
      </c>
      <c r="Q15" s="63">
        <f t="shared" si="0"/>
        <v>1513061739.95</v>
      </c>
      <c r="R15" s="63">
        <v>1134796304.96</v>
      </c>
      <c r="S15" s="63">
        <v>0</v>
      </c>
      <c r="T15" s="63">
        <v>378265434.99000001</v>
      </c>
      <c r="U15" s="63">
        <v>313866437.10000002</v>
      </c>
      <c r="V15" s="63">
        <v>0</v>
      </c>
      <c r="W15" s="63">
        <f>+R15+S15+T15+U15+V15</f>
        <v>1826928177.0500002</v>
      </c>
      <c r="X15" s="63" t="s">
        <v>254</v>
      </c>
      <c r="Y15" s="41">
        <v>248395416.5</v>
      </c>
      <c r="Z15" s="41">
        <v>82798472.170000002</v>
      </c>
    </row>
    <row r="16" spans="1:28" s="8" customFormat="1" ht="21" customHeight="1" x14ac:dyDescent="0.25">
      <c r="B16" s="77"/>
      <c r="C16" s="30" t="s">
        <v>156</v>
      </c>
      <c r="D16" s="30"/>
      <c r="E16" s="30"/>
      <c r="F16" s="30"/>
      <c r="G16" s="121"/>
      <c r="H16" s="30"/>
      <c r="I16" s="30"/>
      <c r="J16" s="30"/>
      <c r="K16" s="30"/>
      <c r="L16" s="30"/>
      <c r="M16" s="30"/>
      <c r="N16" s="30"/>
      <c r="O16" s="30"/>
      <c r="P16" s="30"/>
      <c r="Q16" s="43">
        <f t="shared" si="0"/>
        <v>3556188611.3600001</v>
      </c>
      <c r="R16" s="43">
        <f>SUM(R13:R15)</f>
        <v>2667141458.5100002</v>
      </c>
      <c r="S16" s="43">
        <f t="shared" ref="S16:Z16" si="1">SUM(S13:S15)</f>
        <v>0</v>
      </c>
      <c r="T16" s="43">
        <f t="shared" si="1"/>
        <v>889047152.85000002</v>
      </c>
      <c r="U16" s="43">
        <f t="shared" si="1"/>
        <v>341242405.39000005</v>
      </c>
      <c r="V16" s="43">
        <f t="shared" si="1"/>
        <v>491208525</v>
      </c>
      <c r="W16" s="43">
        <f t="shared" si="1"/>
        <v>4388639541.75</v>
      </c>
      <c r="X16" s="43"/>
      <c r="Y16" s="43">
        <f t="shared" si="1"/>
        <v>680193159.19000006</v>
      </c>
      <c r="Z16" s="43">
        <f t="shared" si="1"/>
        <v>226731053.06</v>
      </c>
      <c r="AA16" s="156"/>
      <c r="AB16" s="156"/>
    </row>
    <row r="17" spans="2:30" s="8" customFormat="1" ht="75.75" customHeight="1" x14ac:dyDescent="0.25">
      <c r="B17" s="75">
        <v>4</v>
      </c>
      <c r="C17" s="228" t="s">
        <v>155</v>
      </c>
      <c r="D17" s="7" t="s">
        <v>613</v>
      </c>
      <c r="E17" s="7">
        <v>110706</v>
      </c>
      <c r="F17" s="114" t="s">
        <v>158</v>
      </c>
      <c r="G17" s="120" t="s">
        <v>614</v>
      </c>
      <c r="H17" s="101" t="s">
        <v>297</v>
      </c>
      <c r="I17" s="101">
        <v>43889</v>
      </c>
      <c r="J17" s="96">
        <v>0.75</v>
      </c>
      <c r="K17" s="96" t="s">
        <v>728</v>
      </c>
      <c r="L17" s="10" t="s">
        <v>486</v>
      </c>
      <c r="M17" s="10" t="s">
        <v>487</v>
      </c>
      <c r="N17" s="10"/>
      <c r="O17" s="10" t="s">
        <v>251</v>
      </c>
      <c r="P17" s="10" t="s">
        <v>600</v>
      </c>
      <c r="Q17" s="63">
        <f t="shared" si="0"/>
        <v>1192273010.04</v>
      </c>
      <c r="R17" s="63">
        <v>894204757.52999997</v>
      </c>
      <c r="S17" s="63">
        <v>0</v>
      </c>
      <c r="T17" s="63">
        <v>298068252.50999999</v>
      </c>
      <c r="U17" s="63">
        <v>356994233.46999997</v>
      </c>
      <c r="V17" s="63">
        <v>34850302.060000002</v>
      </c>
      <c r="W17" s="63">
        <f>+R17+S17+T17+U17+V17</f>
        <v>1584117545.5699999</v>
      </c>
      <c r="X17" s="63" t="s">
        <v>254</v>
      </c>
      <c r="Y17" s="41">
        <v>289425007.45999998</v>
      </c>
      <c r="Z17" s="41">
        <v>96475002.459999993</v>
      </c>
      <c r="AC17" s="50">
        <f>+AC16*D7</f>
        <v>0</v>
      </c>
      <c r="AD17" s="50"/>
    </row>
    <row r="18" spans="2:30" s="8" customFormat="1" ht="81.75" customHeight="1" x14ac:dyDescent="0.25">
      <c r="B18" s="75">
        <f>+B17+1</f>
        <v>5</v>
      </c>
      <c r="C18" s="229"/>
      <c r="D18" s="7" t="s">
        <v>615</v>
      </c>
      <c r="E18" s="37">
        <v>111298</v>
      </c>
      <c r="F18" s="114" t="s">
        <v>158</v>
      </c>
      <c r="G18" s="120" t="s">
        <v>279</v>
      </c>
      <c r="H18" s="101">
        <v>41726</v>
      </c>
      <c r="I18" s="101">
        <v>43896</v>
      </c>
      <c r="J18" s="96">
        <v>0.75</v>
      </c>
      <c r="K18" s="96" t="s">
        <v>728</v>
      </c>
      <c r="L18" s="10" t="s">
        <v>486</v>
      </c>
      <c r="M18" s="10" t="s">
        <v>487</v>
      </c>
      <c r="N18" s="10" t="s">
        <v>277</v>
      </c>
      <c r="O18" s="10" t="s">
        <v>251</v>
      </c>
      <c r="P18" s="10" t="s">
        <v>600</v>
      </c>
      <c r="Q18" s="63">
        <f t="shared" si="0"/>
        <v>1149169978.74</v>
      </c>
      <c r="R18" s="63">
        <v>861877484.05999994</v>
      </c>
      <c r="S18" s="63">
        <v>0</v>
      </c>
      <c r="T18" s="63">
        <v>287292494.68000001</v>
      </c>
      <c r="U18" s="63">
        <v>617094753.24000001</v>
      </c>
      <c r="V18" s="63">
        <v>35907858.469999999</v>
      </c>
      <c r="W18" s="63">
        <f>+R18+S18+T18+U18+V18</f>
        <v>1802172590.45</v>
      </c>
      <c r="X18" s="63" t="s">
        <v>254</v>
      </c>
      <c r="Y18" s="41">
        <v>358198015.19</v>
      </c>
      <c r="Z18" s="41">
        <v>119399338.39</v>
      </c>
    </row>
    <row r="19" spans="2:30" s="8" customFormat="1" ht="225.75" customHeight="1" x14ac:dyDescent="0.25">
      <c r="B19" s="75">
        <f t="shared" ref="B19:B20" si="2">+B18+1</f>
        <v>6</v>
      </c>
      <c r="C19" s="112"/>
      <c r="D19" s="105" t="s">
        <v>569</v>
      </c>
      <c r="E19" s="37">
        <v>110923</v>
      </c>
      <c r="F19" s="114" t="s">
        <v>158</v>
      </c>
      <c r="G19" s="122" t="s">
        <v>598</v>
      </c>
      <c r="H19" s="110" t="s">
        <v>580</v>
      </c>
      <c r="I19" s="101">
        <v>44698</v>
      </c>
      <c r="J19" s="96">
        <v>0.75</v>
      </c>
      <c r="K19" s="96" t="s">
        <v>728</v>
      </c>
      <c r="L19" s="10" t="s">
        <v>497</v>
      </c>
      <c r="M19" s="10" t="s">
        <v>370</v>
      </c>
      <c r="N19" s="10"/>
      <c r="O19" s="10" t="s">
        <v>251</v>
      </c>
      <c r="P19" s="10" t="s">
        <v>600</v>
      </c>
      <c r="Q19" s="63">
        <f>+R19+S19+T19</f>
        <v>60160980.530000001</v>
      </c>
      <c r="R19" s="61">
        <v>45120735.399999999</v>
      </c>
      <c r="S19" s="59">
        <v>0</v>
      </c>
      <c r="T19" s="59">
        <v>15040245.130000001</v>
      </c>
      <c r="U19" s="59">
        <v>14735766.529999999</v>
      </c>
      <c r="V19" s="59">
        <v>0</v>
      </c>
      <c r="W19" s="63">
        <f>+R19+S19+T19+U19+V19</f>
        <v>74896747.060000002</v>
      </c>
      <c r="X19" s="63" t="s">
        <v>254</v>
      </c>
      <c r="Y19" s="41">
        <v>23416091</v>
      </c>
      <c r="Z19" s="41">
        <v>7805363.6600000001</v>
      </c>
    </row>
    <row r="20" spans="2:30" s="8" customFormat="1" ht="118.5" customHeight="1" x14ac:dyDescent="0.25">
      <c r="B20" s="75">
        <f t="shared" si="2"/>
        <v>7</v>
      </c>
      <c r="C20" s="112"/>
      <c r="D20" s="105" t="s">
        <v>573</v>
      </c>
      <c r="E20" s="37">
        <v>117677</v>
      </c>
      <c r="F20" s="114" t="s">
        <v>158</v>
      </c>
      <c r="G20" s="122" t="s">
        <v>599</v>
      </c>
      <c r="H20" s="110" t="s">
        <v>581</v>
      </c>
      <c r="I20" s="101">
        <v>44986</v>
      </c>
      <c r="J20" s="96">
        <v>0.75</v>
      </c>
      <c r="K20" s="96" t="s">
        <v>728</v>
      </c>
      <c r="L20" s="10" t="s">
        <v>484</v>
      </c>
      <c r="M20" s="10" t="s">
        <v>499</v>
      </c>
      <c r="N20" s="10"/>
      <c r="O20" s="10" t="s">
        <v>251</v>
      </c>
      <c r="P20" s="10" t="s">
        <v>600</v>
      </c>
      <c r="Q20" s="68">
        <f>+R20+S20+T20</f>
        <v>8011453703.6499996</v>
      </c>
      <c r="R20" s="63">
        <v>6008590277.7399998</v>
      </c>
      <c r="S20" s="59">
        <v>0</v>
      </c>
      <c r="T20" s="59">
        <v>2002863425.9100001</v>
      </c>
      <c r="U20" s="59">
        <v>1515313447.51</v>
      </c>
      <c r="V20" s="59">
        <v>0</v>
      </c>
      <c r="W20" s="63">
        <f>+R20+S20+T20+U20+V20</f>
        <v>9526767151.1599998</v>
      </c>
      <c r="X20" s="63" t="s">
        <v>254</v>
      </c>
      <c r="Y20" s="41">
        <v>760220418.40999997</v>
      </c>
      <c r="Z20" s="41">
        <v>253406806.13999999</v>
      </c>
    </row>
    <row r="21" spans="2:30" s="8" customFormat="1" ht="25.5" customHeight="1" x14ac:dyDescent="0.25">
      <c r="B21" s="77"/>
      <c r="C21" s="30" t="s">
        <v>157</v>
      </c>
      <c r="D21" s="30"/>
      <c r="E21" s="30"/>
      <c r="F21" s="30"/>
      <c r="G21" s="121"/>
      <c r="H21" s="30"/>
      <c r="I21" s="30"/>
      <c r="J21" s="30"/>
      <c r="K21" s="96" t="s">
        <v>728</v>
      </c>
      <c r="L21" s="30"/>
      <c r="M21" s="30"/>
      <c r="N21" s="30"/>
      <c r="O21" s="30"/>
      <c r="P21" s="30"/>
      <c r="Q21" s="43">
        <f t="shared" si="0"/>
        <v>10413057672.959999</v>
      </c>
      <c r="R21" s="43">
        <f>SUM(R17:R20)</f>
        <v>7809793254.7299995</v>
      </c>
      <c r="S21" s="43">
        <f t="shared" ref="S21:Z21" si="3">SUM(S17:S20)</f>
        <v>0</v>
      </c>
      <c r="T21" s="43">
        <f t="shared" si="3"/>
        <v>2603264418.23</v>
      </c>
      <c r="U21" s="43">
        <f t="shared" si="3"/>
        <v>2504138200.75</v>
      </c>
      <c r="V21" s="43">
        <f t="shared" si="3"/>
        <v>70758160.530000001</v>
      </c>
      <c r="W21" s="43">
        <f t="shared" si="3"/>
        <v>12987954034.24</v>
      </c>
      <c r="X21" s="43"/>
      <c r="Y21" s="43">
        <f t="shared" si="3"/>
        <v>1431259532.0599999</v>
      </c>
      <c r="Z21" s="43">
        <f t="shared" si="3"/>
        <v>477086510.64999998</v>
      </c>
      <c r="AA21" s="156"/>
      <c r="AB21" s="156"/>
    </row>
    <row r="22" spans="2:30" s="8" customFormat="1" ht="39" customHeight="1" x14ac:dyDescent="0.25">
      <c r="B22" s="79">
        <v>8</v>
      </c>
      <c r="C22" s="228" t="s">
        <v>161</v>
      </c>
      <c r="D22" s="7" t="s">
        <v>616</v>
      </c>
      <c r="E22" s="7">
        <v>111325</v>
      </c>
      <c r="F22" s="114" t="s">
        <v>162</v>
      </c>
      <c r="G22" s="120" t="s">
        <v>298</v>
      </c>
      <c r="H22" s="10" t="s">
        <v>299</v>
      </c>
      <c r="I22" s="101">
        <v>44992</v>
      </c>
      <c r="J22" s="96">
        <v>0.75</v>
      </c>
      <c r="K22" s="96" t="s">
        <v>728</v>
      </c>
      <c r="L22" s="10" t="s">
        <v>488</v>
      </c>
      <c r="M22" s="10" t="s">
        <v>489</v>
      </c>
      <c r="N22" s="10"/>
      <c r="O22" s="10" t="s">
        <v>251</v>
      </c>
      <c r="P22" s="10" t="s">
        <v>600</v>
      </c>
      <c r="Q22" s="63">
        <f t="shared" si="0"/>
        <v>200965212</v>
      </c>
      <c r="R22" s="63">
        <v>150723909</v>
      </c>
      <c r="S22" s="63">
        <v>0</v>
      </c>
      <c r="T22" s="63">
        <v>50241303</v>
      </c>
      <c r="U22" s="63">
        <v>117320081.61</v>
      </c>
      <c r="V22" s="63">
        <v>0</v>
      </c>
      <c r="W22" s="63">
        <f>+R22+S22+T22+U22+V22</f>
        <v>318285293.61000001</v>
      </c>
      <c r="X22" s="63" t="s">
        <v>254</v>
      </c>
      <c r="Y22" s="41">
        <v>74422930.140000001</v>
      </c>
      <c r="Z22" s="41">
        <v>24807643.379999999</v>
      </c>
    </row>
    <row r="23" spans="2:30" s="8" customFormat="1" ht="52.5" customHeight="1" x14ac:dyDescent="0.25">
      <c r="B23" s="79">
        <f>+B22+1</f>
        <v>9</v>
      </c>
      <c r="C23" s="229"/>
      <c r="D23" s="7" t="s">
        <v>617</v>
      </c>
      <c r="E23" s="7">
        <v>111687</v>
      </c>
      <c r="F23" s="114" t="s">
        <v>162</v>
      </c>
      <c r="G23" s="120" t="s">
        <v>400</v>
      </c>
      <c r="H23" s="10" t="s">
        <v>393</v>
      </c>
      <c r="I23" s="10" t="s">
        <v>394</v>
      </c>
      <c r="J23" s="96">
        <v>0.75</v>
      </c>
      <c r="K23" s="96" t="s">
        <v>728</v>
      </c>
      <c r="L23" s="10" t="s">
        <v>488</v>
      </c>
      <c r="M23" s="10" t="s">
        <v>489</v>
      </c>
      <c r="N23" s="10"/>
      <c r="O23" s="10" t="s">
        <v>251</v>
      </c>
      <c r="P23" s="10" t="s">
        <v>600</v>
      </c>
      <c r="Q23" s="63">
        <f t="shared" si="0"/>
        <v>1479894883</v>
      </c>
      <c r="R23" s="63">
        <v>1109921162.25</v>
      </c>
      <c r="S23" s="63">
        <v>0</v>
      </c>
      <c r="T23" s="63">
        <v>369973720.75</v>
      </c>
      <c r="U23" s="63">
        <v>333417885</v>
      </c>
      <c r="V23" s="63">
        <v>0</v>
      </c>
      <c r="W23" s="63">
        <f>+R23+S23+T23+U23+V23</f>
        <v>1813312768</v>
      </c>
      <c r="X23" s="63" t="s">
        <v>254</v>
      </c>
      <c r="Y23" s="41">
        <v>396245167.69999993</v>
      </c>
      <c r="Z23" s="41">
        <v>132081722.54999998</v>
      </c>
    </row>
    <row r="24" spans="2:30" s="8" customFormat="1" ht="67.5" customHeight="1" x14ac:dyDescent="0.25">
      <c r="B24" s="79">
        <f>+B23+1</f>
        <v>10</v>
      </c>
      <c r="C24" s="230"/>
      <c r="D24" s="105" t="s">
        <v>606</v>
      </c>
      <c r="E24" s="37">
        <v>111879</v>
      </c>
      <c r="F24" s="114" t="s">
        <v>162</v>
      </c>
      <c r="G24" s="120" t="s">
        <v>395</v>
      </c>
      <c r="H24" s="10" t="s">
        <v>396</v>
      </c>
      <c r="I24" s="10" t="s">
        <v>397</v>
      </c>
      <c r="J24" s="96">
        <v>0.75</v>
      </c>
      <c r="K24" s="96" t="s">
        <v>728</v>
      </c>
      <c r="L24" s="10" t="s">
        <v>490</v>
      </c>
      <c r="M24" s="10" t="s">
        <v>489</v>
      </c>
      <c r="N24" s="10"/>
      <c r="O24" s="10" t="s">
        <v>251</v>
      </c>
      <c r="P24" s="10" t="s">
        <v>600</v>
      </c>
      <c r="Q24" s="63">
        <f t="shared" si="0"/>
        <v>18876637</v>
      </c>
      <c r="R24" s="63">
        <v>14157477.75</v>
      </c>
      <c r="S24" s="63">
        <v>0</v>
      </c>
      <c r="T24" s="63">
        <v>4719159.25</v>
      </c>
      <c r="U24" s="63">
        <v>3628901.82</v>
      </c>
      <c r="V24" s="63">
        <v>0</v>
      </c>
      <c r="W24" s="63">
        <f>+R24+S24+T24+U24+V24</f>
        <v>22505538.82</v>
      </c>
      <c r="X24" s="63" t="s">
        <v>254</v>
      </c>
      <c r="Y24" s="41">
        <v>98506830.400000006</v>
      </c>
      <c r="Z24" s="41">
        <v>32835610.129999999</v>
      </c>
    </row>
    <row r="25" spans="2:30" s="8" customFormat="1" ht="67.5" customHeight="1" x14ac:dyDescent="0.25">
      <c r="B25" s="83">
        <f>+B24+1</f>
        <v>11</v>
      </c>
      <c r="C25" s="164"/>
      <c r="D25" s="105" t="s">
        <v>644</v>
      </c>
      <c r="E25" s="7">
        <v>118443</v>
      </c>
      <c r="F25" s="6" t="s">
        <v>162</v>
      </c>
      <c r="G25" s="122" t="s">
        <v>665</v>
      </c>
      <c r="H25" s="95" t="s">
        <v>667</v>
      </c>
      <c r="I25" s="95" t="s">
        <v>666</v>
      </c>
      <c r="J25" s="96">
        <v>0.75</v>
      </c>
      <c r="K25" s="96" t="s">
        <v>728</v>
      </c>
      <c r="L25" s="10" t="s">
        <v>490</v>
      </c>
      <c r="M25" s="10" t="s">
        <v>489</v>
      </c>
      <c r="N25" s="10"/>
      <c r="O25" s="10" t="s">
        <v>251</v>
      </c>
      <c r="P25" s="10" t="s">
        <v>600</v>
      </c>
      <c r="Q25" s="63">
        <f t="shared" si="0"/>
        <v>144651272.41</v>
      </c>
      <c r="R25" s="63">
        <v>108488454.31</v>
      </c>
      <c r="S25" s="63">
        <v>0</v>
      </c>
      <c r="T25" s="63">
        <v>36162818.100000001</v>
      </c>
      <c r="U25" s="63">
        <v>30409115.370000001</v>
      </c>
      <c r="V25" s="63">
        <v>6720925.5899999999</v>
      </c>
      <c r="W25" s="63">
        <f>+R25+S25+T25+U25+V25</f>
        <v>181781313.37</v>
      </c>
      <c r="X25" s="63" t="s">
        <v>254</v>
      </c>
      <c r="Y25" s="41">
        <v>12258323.640000001</v>
      </c>
      <c r="Z25" s="41">
        <v>4086107.88</v>
      </c>
    </row>
    <row r="26" spans="2:30" s="8" customFormat="1" ht="25.5" customHeight="1" x14ac:dyDescent="0.25">
      <c r="B26" s="77"/>
      <c r="C26" s="30" t="s">
        <v>160</v>
      </c>
      <c r="D26" s="30"/>
      <c r="E26" s="30"/>
      <c r="F26" s="30"/>
      <c r="G26" s="121"/>
      <c r="H26" s="30"/>
      <c r="I26" s="30"/>
      <c r="J26" s="30"/>
      <c r="K26" s="30"/>
      <c r="L26" s="30"/>
      <c r="M26" s="30"/>
      <c r="N26" s="30"/>
      <c r="O26" s="30"/>
      <c r="P26" s="30"/>
      <c r="Q26" s="43">
        <f t="shared" si="0"/>
        <v>1844388004.4099998</v>
      </c>
      <c r="R26" s="43">
        <f>SUM(R22:R25)</f>
        <v>1383291003.3099999</v>
      </c>
      <c r="S26" s="43">
        <f t="shared" ref="S26:W26" si="4">SUM(S22:S25)</f>
        <v>0</v>
      </c>
      <c r="T26" s="43">
        <f t="shared" si="4"/>
        <v>461097001.10000002</v>
      </c>
      <c r="U26" s="43">
        <f t="shared" si="4"/>
        <v>484775983.80000001</v>
      </c>
      <c r="V26" s="43">
        <f t="shared" si="4"/>
        <v>6720925.5899999999</v>
      </c>
      <c r="W26" s="43">
        <f t="shared" si="4"/>
        <v>2335884913.8000002</v>
      </c>
      <c r="X26" s="43"/>
      <c r="Y26" s="43">
        <f>SUM(Y22:Y25)</f>
        <v>581433251.87999988</v>
      </c>
      <c r="Z26" s="43">
        <f>SUM(Z22:Z25)</f>
        <v>193811083.93999997</v>
      </c>
      <c r="AA26" s="156"/>
      <c r="AB26" s="156"/>
    </row>
    <row r="27" spans="2:30" s="8" customFormat="1" ht="25.5" customHeight="1" x14ac:dyDescent="0.25">
      <c r="B27" s="80"/>
      <c r="C27" s="32" t="s">
        <v>154</v>
      </c>
      <c r="D27" s="32"/>
      <c r="E27" s="32"/>
      <c r="F27" s="32"/>
      <c r="G27" s="123"/>
      <c r="H27" s="32"/>
      <c r="I27" s="32"/>
      <c r="J27" s="32"/>
      <c r="K27" s="32"/>
      <c r="L27" s="32"/>
      <c r="M27" s="32"/>
      <c r="N27" s="32"/>
      <c r="O27" s="32"/>
      <c r="P27" s="32"/>
      <c r="Q27" s="44">
        <f t="shared" si="0"/>
        <v>15813634288.73</v>
      </c>
      <c r="R27" s="44">
        <f>+R26+R21+R16</f>
        <v>11860225716.549999</v>
      </c>
      <c r="S27" s="44">
        <f t="shared" ref="S27:W27" si="5">+S26+S21+S16</f>
        <v>0</v>
      </c>
      <c r="T27" s="44">
        <f t="shared" si="5"/>
        <v>3953408572.1799998</v>
      </c>
      <c r="U27" s="44">
        <f t="shared" si="5"/>
        <v>3330156589.9400001</v>
      </c>
      <c r="V27" s="44">
        <f t="shared" si="5"/>
        <v>568687611.12</v>
      </c>
      <c r="W27" s="44">
        <f t="shared" si="5"/>
        <v>19712478489.790001</v>
      </c>
      <c r="X27" s="44"/>
      <c r="Y27" s="44">
        <f>+Y26+Y21+Y16</f>
        <v>2692885943.1300001</v>
      </c>
      <c r="Z27" s="81">
        <f>+Z26+Z21+Z16</f>
        <v>897628647.64999986</v>
      </c>
      <c r="AA27" s="156"/>
      <c r="AB27" s="156"/>
    </row>
    <row r="28" spans="2:30" s="8" customFormat="1" x14ac:dyDescent="0.25">
      <c r="B28" s="73"/>
      <c r="C28" s="29" t="s">
        <v>53</v>
      </c>
      <c r="D28" s="29"/>
      <c r="E28" s="29"/>
      <c r="F28" s="29"/>
      <c r="G28" s="124"/>
      <c r="H28" s="103"/>
      <c r="I28" s="103"/>
      <c r="J28" s="103"/>
      <c r="K28" s="103"/>
      <c r="L28" s="103"/>
      <c r="M28" s="103"/>
      <c r="N28" s="103"/>
      <c r="O28" s="103"/>
      <c r="P28" s="103"/>
      <c r="Q28" s="48"/>
      <c r="R28" s="45"/>
      <c r="S28" s="46"/>
      <c r="T28" s="46"/>
      <c r="U28" s="46"/>
      <c r="V28" s="46"/>
      <c r="W28" s="45"/>
      <c r="X28" s="45"/>
      <c r="Y28" s="45"/>
      <c r="Z28" s="82"/>
    </row>
    <row r="29" spans="2:30" s="8" customFormat="1" ht="126" customHeight="1" x14ac:dyDescent="0.25">
      <c r="B29" s="79">
        <v>12</v>
      </c>
      <c r="C29" s="228" t="s">
        <v>149</v>
      </c>
      <c r="D29" s="7" t="s">
        <v>618</v>
      </c>
      <c r="E29" s="7">
        <v>111438</v>
      </c>
      <c r="F29" s="14" t="s">
        <v>150</v>
      </c>
      <c r="G29" s="125" t="s">
        <v>401</v>
      </c>
      <c r="H29" s="10" t="s">
        <v>398</v>
      </c>
      <c r="I29" s="10" t="s">
        <v>399</v>
      </c>
      <c r="J29" s="96">
        <v>0.75</v>
      </c>
      <c r="K29" s="96" t="s">
        <v>728</v>
      </c>
      <c r="L29" s="154" t="s">
        <v>491</v>
      </c>
      <c r="M29" s="115" t="s">
        <v>492</v>
      </c>
      <c r="N29" s="115"/>
      <c r="O29" s="10" t="s">
        <v>251</v>
      </c>
      <c r="P29" s="114" t="s">
        <v>601</v>
      </c>
      <c r="Q29" s="63">
        <f t="shared" si="0"/>
        <v>15592524.809999999</v>
      </c>
      <c r="R29" s="64">
        <v>11694393.609999999</v>
      </c>
      <c r="S29" s="59">
        <v>0</v>
      </c>
      <c r="T29" s="59">
        <v>3898131.2</v>
      </c>
      <c r="U29" s="59">
        <v>3027293.26</v>
      </c>
      <c r="V29" s="59">
        <v>0</v>
      </c>
      <c r="W29" s="63">
        <f t="shared" ref="W29:W38" si="6">+R29+S29+T29+U29+V29</f>
        <v>18619818.07</v>
      </c>
      <c r="X29" s="63" t="s">
        <v>254</v>
      </c>
      <c r="Y29" s="41">
        <v>9936444.0599999987</v>
      </c>
      <c r="Z29" s="41">
        <v>3312148.01</v>
      </c>
    </row>
    <row r="30" spans="2:30" s="8" customFormat="1" ht="69" customHeight="1" x14ac:dyDescent="0.25">
      <c r="B30" s="79">
        <f>+B29+1</f>
        <v>13</v>
      </c>
      <c r="C30" s="229"/>
      <c r="D30" s="7" t="s">
        <v>619</v>
      </c>
      <c r="E30" s="7">
        <v>111085</v>
      </c>
      <c r="F30" s="14" t="s">
        <v>150</v>
      </c>
      <c r="G30" s="120" t="s">
        <v>280</v>
      </c>
      <c r="H30" s="101">
        <v>41640</v>
      </c>
      <c r="I30" s="101">
        <v>43646</v>
      </c>
      <c r="J30" s="96">
        <v>0.75</v>
      </c>
      <c r="K30" s="96" t="s">
        <v>728</v>
      </c>
      <c r="L30" s="154" t="s">
        <v>493</v>
      </c>
      <c r="M30" s="154" t="s">
        <v>494</v>
      </c>
      <c r="N30" s="154"/>
      <c r="O30" s="10" t="s">
        <v>251</v>
      </c>
      <c r="P30" s="115" t="s">
        <v>601</v>
      </c>
      <c r="Q30" s="63">
        <f t="shared" si="0"/>
        <v>338395407.75999999</v>
      </c>
      <c r="R30" s="61">
        <v>253796555.81999999</v>
      </c>
      <c r="S30" s="61">
        <v>0</v>
      </c>
      <c r="T30" s="61">
        <v>84598851.939999998</v>
      </c>
      <c r="U30" s="61">
        <v>64299880.890000001</v>
      </c>
      <c r="V30" s="61">
        <v>0</v>
      </c>
      <c r="W30" s="63">
        <f t="shared" si="6"/>
        <v>402695288.64999998</v>
      </c>
      <c r="X30" s="63" t="s">
        <v>254</v>
      </c>
      <c r="Y30" s="41">
        <v>233192.18</v>
      </c>
      <c r="Z30" s="41">
        <v>77730.73</v>
      </c>
    </row>
    <row r="31" spans="2:30" s="8" customFormat="1" ht="82.5" customHeight="1" x14ac:dyDescent="0.25">
      <c r="B31" s="79">
        <f t="shared" ref="B31:B38" si="7">+B30+1</f>
        <v>14</v>
      </c>
      <c r="C31" s="229"/>
      <c r="D31" s="7" t="s">
        <v>620</v>
      </c>
      <c r="E31" s="37">
        <v>110638</v>
      </c>
      <c r="F31" s="14" t="s">
        <v>150</v>
      </c>
      <c r="G31" s="120" t="s">
        <v>404</v>
      </c>
      <c r="H31" s="10" t="s">
        <v>402</v>
      </c>
      <c r="I31" s="10" t="s">
        <v>270</v>
      </c>
      <c r="J31" s="96">
        <v>0.75</v>
      </c>
      <c r="K31" s="96" t="s">
        <v>728</v>
      </c>
      <c r="L31" s="154" t="s">
        <v>495</v>
      </c>
      <c r="M31" s="115" t="s">
        <v>292</v>
      </c>
      <c r="N31" s="115"/>
      <c r="O31" s="10" t="s">
        <v>251</v>
      </c>
      <c r="P31" s="14" t="s">
        <v>601</v>
      </c>
      <c r="Q31" s="63">
        <f t="shared" si="0"/>
        <v>77703676.310000002</v>
      </c>
      <c r="R31" s="61">
        <v>58277757.229999997</v>
      </c>
      <c r="S31" s="61">
        <v>0</v>
      </c>
      <c r="T31" s="61">
        <v>19425919.079999998</v>
      </c>
      <c r="U31" s="61">
        <v>25440275.760000002</v>
      </c>
      <c r="V31" s="61">
        <v>0</v>
      </c>
      <c r="W31" s="63">
        <f t="shared" si="6"/>
        <v>103143952.07000001</v>
      </c>
      <c r="X31" s="63" t="s">
        <v>254</v>
      </c>
      <c r="Y31" s="41">
        <v>24152905.859999999</v>
      </c>
      <c r="Z31" s="41">
        <v>8050968.6200000001</v>
      </c>
    </row>
    <row r="32" spans="2:30" s="8" customFormat="1" ht="65.25" customHeight="1" x14ac:dyDescent="0.25">
      <c r="B32" s="79">
        <f t="shared" si="7"/>
        <v>15</v>
      </c>
      <c r="C32" s="229"/>
      <c r="D32" s="7" t="s">
        <v>621</v>
      </c>
      <c r="E32" s="37">
        <v>111081</v>
      </c>
      <c r="F32" s="14" t="s">
        <v>150</v>
      </c>
      <c r="G32" s="120" t="s">
        <v>300</v>
      </c>
      <c r="H32" s="10" t="s">
        <v>301</v>
      </c>
      <c r="I32" s="101">
        <v>43585</v>
      </c>
      <c r="J32" s="96">
        <v>0.75</v>
      </c>
      <c r="K32" s="96" t="s">
        <v>728</v>
      </c>
      <c r="L32" s="154" t="s">
        <v>486</v>
      </c>
      <c r="M32" s="114" t="s">
        <v>496</v>
      </c>
      <c r="N32" s="114"/>
      <c r="O32" s="10" t="s">
        <v>251</v>
      </c>
      <c r="P32" s="14" t="s">
        <v>601</v>
      </c>
      <c r="Q32" s="63">
        <f t="shared" si="0"/>
        <v>75580236.530000001</v>
      </c>
      <c r="R32" s="61">
        <v>56685177.399999999</v>
      </c>
      <c r="S32" s="59">
        <v>0</v>
      </c>
      <c r="T32" s="59">
        <v>18895059.129999999</v>
      </c>
      <c r="U32" s="59">
        <v>16567620.41</v>
      </c>
      <c r="V32" s="61">
        <v>0</v>
      </c>
      <c r="W32" s="63">
        <f t="shared" si="6"/>
        <v>92147856.939999998</v>
      </c>
      <c r="X32" s="63" t="s">
        <v>254</v>
      </c>
      <c r="Y32" s="41">
        <v>35391299.200000003</v>
      </c>
      <c r="Z32" s="41">
        <v>11797099.73</v>
      </c>
    </row>
    <row r="33" spans="2:26" s="8" customFormat="1" ht="52.5" customHeight="1" x14ac:dyDescent="0.25">
      <c r="B33" s="79">
        <f t="shared" si="7"/>
        <v>16</v>
      </c>
      <c r="C33" s="229"/>
      <c r="D33" s="7" t="s">
        <v>622</v>
      </c>
      <c r="E33" s="7">
        <v>111428</v>
      </c>
      <c r="F33" s="14" t="s">
        <v>150</v>
      </c>
      <c r="G33" s="120" t="s">
        <v>281</v>
      </c>
      <c r="H33" s="101">
        <v>42370</v>
      </c>
      <c r="I33" s="101">
        <v>43424</v>
      </c>
      <c r="J33" s="96">
        <v>0.75</v>
      </c>
      <c r="K33" s="96" t="s">
        <v>728</v>
      </c>
      <c r="L33" s="114" t="s">
        <v>497</v>
      </c>
      <c r="M33" s="114" t="s">
        <v>494</v>
      </c>
      <c r="N33" s="114" t="s">
        <v>283</v>
      </c>
      <c r="O33" s="10" t="s">
        <v>251</v>
      </c>
      <c r="P33" s="14" t="s">
        <v>601</v>
      </c>
      <c r="Q33" s="63">
        <f t="shared" si="0"/>
        <v>24961640.23</v>
      </c>
      <c r="R33" s="61">
        <v>18721230.170000002</v>
      </c>
      <c r="S33" s="59">
        <v>0</v>
      </c>
      <c r="T33" s="59">
        <v>6240410.0599999996</v>
      </c>
      <c r="U33" s="61">
        <v>4757698.47</v>
      </c>
      <c r="V33" s="59">
        <v>0</v>
      </c>
      <c r="W33" s="63">
        <f t="shared" si="6"/>
        <v>29719338.699999999</v>
      </c>
      <c r="X33" s="63" t="s">
        <v>254</v>
      </c>
      <c r="Y33" s="41">
        <v>13063002.02</v>
      </c>
      <c r="Z33" s="41">
        <v>4354334</v>
      </c>
    </row>
    <row r="34" spans="2:26" s="8" customFormat="1" ht="88.5" customHeight="1" x14ac:dyDescent="0.25">
      <c r="B34" s="79">
        <f t="shared" si="7"/>
        <v>17</v>
      </c>
      <c r="C34" s="229"/>
      <c r="D34" s="7" t="s">
        <v>623</v>
      </c>
      <c r="E34" s="37">
        <v>110661</v>
      </c>
      <c r="F34" s="114" t="s">
        <v>150</v>
      </c>
      <c r="G34" s="120" t="s">
        <v>403</v>
      </c>
      <c r="H34" s="10" t="s">
        <v>413</v>
      </c>
      <c r="I34" s="10" t="s">
        <v>274</v>
      </c>
      <c r="J34" s="96">
        <v>0.75</v>
      </c>
      <c r="K34" s="96" t="s">
        <v>728</v>
      </c>
      <c r="L34" s="114" t="s">
        <v>498</v>
      </c>
      <c r="M34" s="114" t="s">
        <v>499</v>
      </c>
      <c r="N34" s="114"/>
      <c r="O34" s="10" t="s">
        <v>251</v>
      </c>
      <c r="P34" s="14" t="s">
        <v>601</v>
      </c>
      <c r="Q34" s="68">
        <f>+R34+S34+T34</f>
        <v>96052852.200000003</v>
      </c>
      <c r="R34" s="61">
        <v>72039639.150000006</v>
      </c>
      <c r="S34" s="59">
        <v>0</v>
      </c>
      <c r="T34" s="59">
        <v>24013213.050000001</v>
      </c>
      <c r="U34" s="59">
        <v>22814456.43</v>
      </c>
      <c r="V34" s="59">
        <v>0</v>
      </c>
      <c r="W34" s="63">
        <f t="shared" si="6"/>
        <v>118867308.63</v>
      </c>
      <c r="X34" s="63" t="s">
        <v>254</v>
      </c>
      <c r="Y34" s="41">
        <v>31891185.059999999</v>
      </c>
      <c r="Z34" s="41">
        <v>10630394.959999999</v>
      </c>
    </row>
    <row r="35" spans="2:26" s="8" customFormat="1" ht="64.5" customHeight="1" x14ac:dyDescent="0.25">
      <c r="B35" s="79">
        <f t="shared" si="7"/>
        <v>18</v>
      </c>
      <c r="C35" s="229"/>
      <c r="D35" s="7" t="s">
        <v>191</v>
      </c>
      <c r="E35" s="37">
        <v>110595</v>
      </c>
      <c r="F35" s="114" t="s">
        <v>150</v>
      </c>
      <c r="G35" s="120" t="s">
        <v>406</v>
      </c>
      <c r="H35" s="10" t="s">
        <v>414</v>
      </c>
      <c r="I35" s="10" t="s">
        <v>405</v>
      </c>
      <c r="J35" s="96">
        <v>0.75</v>
      </c>
      <c r="K35" s="96" t="s">
        <v>728</v>
      </c>
      <c r="L35" s="10" t="s">
        <v>497</v>
      </c>
      <c r="M35" s="10" t="s">
        <v>500</v>
      </c>
      <c r="N35" s="10"/>
      <c r="O35" s="10" t="s">
        <v>251</v>
      </c>
      <c r="P35" s="14" t="s">
        <v>601</v>
      </c>
      <c r="Q35" s="63">
        <f t="shared" si="0"/>
        <v>28715378.460000001</v>
      </c>
      <c r="R35" s="61">
        <v>21536533.84</v>
      </c>
      <c r="S35" s="59">
        <v>0</v>
      </c>
      <c r="T35" s="59">
        <v>7178844.6200000001</v>
      </c>
      <c r="U35" s="59">
        <v>5645133.0599999996</v>
      </c>
      <c r="V35" s="59">
        <v>0</v>
      </c>
      <c r="W35" s="63">
        <f t="shared" si="6"/>
        <v>34360511.520000003</v>
      </c>
      <c r="X35" s="63" t="s">
        <v>254</v>
      </c>
      <c r="Y35" s="41">
        <v>11230690.439999999</v>
      </c>
      <c r="Z35" s="41">
        <v>3743563.4699999997</v>
      </c>
    </row>
    <row r="36" spans="2:26" s="8" customFormat="1" ht="45.75" customHeight="1" x14ac:dyDescent="0.25">
      <c r="B36" s="79">
        <f t="shared" si="7"/>
        <v>19</v>
      </c>
      <c r="C36" s="229"/>
      <c r="D36" s="7" t="s">
        <v>192</v>
      </c>
      <c r="E36" s="37">
        <v>111429</v>
      </c>
      <c r="F36" s="114" t="s">
        <v>150</v>
      </c>
      <c r="G36" s="120" t="s">
        <v>287</v>
      </c>
      <c r="H36" s="101">
        <v>41640</v>
      </c>
      <c r="I36" s="101">
        <v>44075</v>
      </c>
      <c r="J36" s="96">
        <v>0.75</v>
      </c>
      <c r="K36" s="96" t="s">
        <v>728</v>
      </c>
      <c r="L36" s="10" t="s">
        <v>495</v>
      </c>
      <c r="M36" s="10" t="s">
        <v>288</v>
      </c>
      <c r="N36" s="10" t="s">
        <v>289</v>
      </c>
      <c r="O36" s="10" t="s">
        <v>251</v>
      </c>
      <c r="P36" s="14" t="s">
        <v>601</v>
      </c>
      <c r="Q36" s="63">
        <f t="shared" si="0"/>
        <v>155669643.09999999</v>
      </c>
      <c r="R36" s="61">
        <v>116752232.31999999</v>
      </c>
      <c r="S36" s="59">
        <v>0</v>
      </c>
      <c r="T36" s="59">
        <v>38917410.780000001</v>
      </c>
      <c r="U36" s="59">
        <v>29095567.399999999</v>
      </c>
      <c r="V36" s="59">
        <v>0</v>
      </c>
      <c r="W36" s="63">
        <f t="shared" si="6"/>
        <v>184765210.5</v>
      </c>
      <c r="X36" s="63" t="s">
        <v>254</v>
      </c>
      <c r="Y36" s="41">
        <v>20697389.079999998</v>
      </c>
      <c r="Z36" s="41">
        <v>6899129.6899999995</v>
      </c>
    </row>
    <row r="37" spans="2:26" s="8" customFormat="1" ht="113.25" customHeight="1" x14ac:dyDescent="0.25">
      <c r="B37" s="79">
        <f t="shared" si="7"/>
        <v>20</v>
      </c>
      <c r="C37" s="230"/>
      <c r="D37" s="7" t="s">
        <v>229</v>
      </c>
      <c r="E37" s="37">
        <v>111951</v>
      </c>
      <c r="F37" s="114" t="s">
        <v>150</v>
      </c>
      <c r="G37" s="120" t="s">
        <v>407</v>
      </c>
      <c r="H37" s="110" t="s">
        <v>408</v>
      </c>
      <c r="I37" s="10" t="s">
        <v>255</v>
      </c>
      <c r="J37" s="96">
        <v>0.75</v>
      </c>
      <c r="K37" s="96" t="s">
        <v>728</v>
      </c>
      <c r="L37" s="10" t="s">
        <v>490</v>
      </c>
      <c r="M37" s="10" t="s">
        <v>489</v>
      </c>
      <c r="N37" s="10"/>
      <c r="O37" s="10" t="s">
        <v>251</v>
      </c>
      <c r="P37" s="14" t="s">
        <v>601</v>
      </c>
      <c r="Q37" s="63">
        <f t="shared" si="0"/>
        <v>76041683.069999993</v>
      </c>
      <c r="R37" s="61">
        <v>57031262.299999997</v>
      </c>
      <c r="S37" s="59">
        <v>0</v>
      </c>
      <c r="T37" s="59">
        <v>19010420.77</v>
      </c>
      <c r="U37" s="59">
        <v>25590596.670000002</v>
      </c>
      <c r="V37" s="59">
        <v>0</v>
      </c>
      <c r="W37" s="63">
        <f t="shared" si="6"/>
        <v>101632279.73999999</v>
      </c>
      <c r="X37" s="63" t="s">
        <v>254</v>
      </c>
      <c r="Y37" s="41">
        <v>17913577.57</v>
      </c>
      <c r="Z37" s="41">
        <v>5971192.5199999996</v>
      </c>
    </row>
    <row r="38" spans="2:26" s="8" customFormat="1" ht="117.75" customHeight="1" x14ac:dyDescent="0.25">
      <c r="B38" s="79">
        <f t="shared" si="7"/>
        <v>21</v>
      </c>
      <c r="C38" s="113"/>
      <c r="D38" s="7" t="s">
        <v>572</v>
      </c>
      <c r="E38" s="37">
        <v>118317</v>
      </c>
      <c r="F38" s="114" t="s">
        <v>150</v>
      </c>
      <c r="G38" s="122" t="s">
        <v>597</v>
      </c>
      <c r="H38" s="110" t="s">
        <v>581</v>
      </c>
      <c r="I38" s="101">
        <v>44926</v>
      </c>
      <c r="J38" s="96">
        <v>0.75</v>
      </c>
      <c r="K38" s="96" t="s">
        <v>728</v>
      </c>
      <c r="L38" s="10" t="s">
        <v>486</v>
      </c>
      <c r="M38" s="10"/>
      <c r="N38" s="10"/>
      <c r="O38" s="10" t="s">
        <v>251</v>
      </c>
      <c r="P38" s="14" t="s">
        <v>601</v>
      </c>
      <c r="Q38" s="63">
        <f>+R38+S38+T38</f>
        <v>1620299408.8</v>
      </c>
      <c r="R38" s="63">
        <v>1215224556.5999999</v>
      </c>
      <c r="S38" s="59">
        <v>0</v>
      </c>
      <c r="T38" s="59">
        <v>405074852.19999999</v>
      </c>
      <c r="U38" s="59">
        <v>329597531.44</v>
      </c>
      <c r="V38" s="59">
        <v>0</v>
      </c>
      <c r="W38" s="63">
        <f t="shared" si="6"/>
        <v>1949896940.24</v>
      </c>
      <c r="X38" s="63" t="s">
        <v>254</v>
      </c>
      <c r="Y38" s="41">
        <v>465677087.34000003</v>
      </c>
      <c r="Z38" s="41">
        <v>155225695.78</v>
      </c>
    </row>
    <row r="39" spans="2:26" s="8" customFormat="1" ht="20.25" customHeight="1" x14ac:dyDescent="0.25">
      <c r="B39" s="77"/>
      <c r="C39" s="30" t="s">
        <v>151</v>
      </c>
      <c r="D39" s="30"/>
      <c r="E39" s="30"/>
      <c r="F39" s="30"/>
      <c r="G39" s="121"/>
      <c r="H39" s="30"/>
      <c r="I39" s="30"/>
      <c r="J39" s="30"/>
      <c r="K39" s="30"/>
      <c r="L39" s="30"/>
      <c r="M39" s="30"/>
      <c r="N39" s="30"/>
      <c r="O39" s="30"/>
      <c r="P39" s="30"/>
      <c r="Q39" s="43">
        <f t="shared" si="0"/>
        <v>2509012451.27</v>
      </c>
      <c r="R39" s="43">
        <f t="shared" ref="R39:W39" si="8">SUM(R29:R38)</f>
        <v>1881759338.4399998</v>
      </c>
      <c r="S39" s="43">
        <f t="shared" si="8"/>
        <v>0</v>
      </c>
      <c r="T39" s="43">
        <f t="shared" si="8"/>
        <v>627253112.83000004</v>
      </c>
      <c r="U39" s="43">
        <f t="shared" si="8"/>
        <v>526836053.79000002</v>
      </c>
      <c r="V39" s="43">
        <f t="shared" si="8"/>
        <v>0</v>
      </c>
      <c r="W39" s="43">
        <f t="shared" si="8"/>
        <v>3035848505.0599999</v>
      </c>
      <c r="X39" s="43"/>
      <c r="Y39" s="43">
        <f>SUM(Y29:Y38)</f>
        <v>630186772.80999994</v>
      </c>
      <c r="Z39" s="78">
        <f>SUM(Z29:Z38)</f>
        <v>210062257.50999999</v>
      </c>
    </row>
    <row r="40" spans="2:26" s="8" customFormat="1" ht="72.75" customHeight="1" x14ac:dyDescent="0.25">
      <c r="B40" s="79">
        <v>22</v>
      </c>
      <c r="C40" s="53" t="s">
        <v>189</v>
      </c>
      <c r="D40" s="7" t="s">
        <v>190</v>
      </c>
      <c r="E40" s="37">
        <v>112112</v>
      </c>
      <c r="F40" s="114" t="s">
        <v>150</v>
      </c>
      <c r="G40" s="120" t="s">
        <v>303</v>
      </c>
      <c r="H40" s="10" t="s">
        <v>302</v>
      </c>
      <c r="I40" s="101">
        <v>44196</v>
      </c>
      <c r="J40" s="96">
        <v>0.75</v>
      </c>
      <c r="K40" s="96" t="s">
        <v>728</v>
      </c>
      <c r="L40" s="10" t="s">
        <v>491</v>
      </c>
      <c r="M40" s="10" t="s">
        <v>492</v>
      </c>
      <c r="N40" s="10"/>
      <c r="O40" s="10" t="s">
        <v>251</v>
      </c>
      <c r="P40" s="10" t="s">
        <v>601</v>
      </c>
      <c r="Q40" s="63">
        <f t="shared" si="0"/>
        <v>457585516.93000001</v>
      </c>
      <c r="R40" s="61">
        <v>343189137.69999999</v>
      </c>
      <c r="S40" s="64">
        <v>0</v>
      </c>
      <c r="T40" s="59">
        <v>114396379.23</v>
      </c>
      <c r="U40" s="59">
        <v>133314902.65000001</v>
      </c>
      <c r="V40" s="60">
        <v>0</v>
      </c>
      <c r="W40" s="59">
        <f>R40+S40+T40+U40+V40</f>
        <v>590900419.58000004</v>
      </c>
      <c r="X40" s="64" t="s">
        <v>254</v>
      </c>
      <c r="Y40" s="41">
        <f>6883420.55+55904215.9+6268138.79+5292192.14+3228893.9+1154125.51+18477529.92</f>
        <v>97208516.710000008</v>
      </c>
      <c r="Z40" s="41">
        <f>20929212.15+2089379.6+1764064.05+1076297.96+384708.51+6159176.64</f>
        <v>32402838.910000004</v>
      </c>
    </row>
    <row r="41" spans="2:26" s="8" customFormat="1" ht="72.75" customHeight="1" x14ac:dyDescent="0.25">
      <c r="B41" s="83">
        <f>+B40+1</f>
        <v>23</v>
      </c>
      <c r="C41" s="229"/>
      <c r="D41" s="7" t="s">
        <v>230</v>
      </c>
      <c r="E41" s="37">
        <v>115371</v>
      </c>
      <c r="F41" s="114" t="s">
        <v>150</v>
      </c>
      <c r="G41" s="120" t="s">
        <v>409</v>
      </c>
      <c r="H41" s="110" t="s">
        <v>415</v>
      </c>
      <c r="I41" s="10" t="s">
        <v>270</v>
      </c>
      <c r="J41" s="96">
        <v>0.75</v>
      </c>
      <c r="K41" s="96" t="s">
        <v>728</v>
      </c>
      <c r="L41" s="10" t="s">
        <v>491</v>
      </c>
      <c r="M41" s="10" t="s">
        <v>492</v>
      </c>
      <c r="N41" s="10"/>
      <c r="O41" s="10" t="s">
        <v>251</v>
      </c>
      <c r="P41" s="10" t="s">
        <v>601</v>
      </c>
      <c r="Q41" s="63">
        <f>+R41+S41+T41</f>
        <v>25837211.740000002</v>
      </c>
      <c r="R41" s="61">
        <v>19377908.800000001</v>
      </c>
      <c r="S41" s="126"/>
      <c r="T41" s="61">
        <v>6459302.9400000004</v>
      </c>
      <c r="U41" s="59">
        <v>6029398.9800000004</v>
      </c>
      <c r="V41" s="60">
        <v>0</v>
      </c>
      <c r="W41" s="59">
        <f>R41+S41+T41+U41+V41</f>
        <v>31866610.720000003</v>
      </c>
      <c r="X41" s="61" t="s">
        <v>254</v>
      </c>
      <c r="Y41" s="42">
        <v>714.38</v>
      </c>
      <c r="Z41" s="84">
        <v>238.12</v>
      </c>
    </row>
    <row r="42" spans="2:26" s="8" customFormat="1" ht="72.75" customHeight="1" x14ac:dyDescent="0.25">
      <c r="B42" s="83">
        <f>+B41+1</f>
        <v>24</v>
      </c>
      <c r="C42" s="229"/>
      <c r="D42" s="7" t="s">
        <v>232</v>
      </c>
      <c r="E42" s="37">
        <v>111193</v>
      </c>
      <c r="F42" s="114" t="s">
        <v>290</v>
      </c>
      <c r="G42" s="120" t="s">
        <v>284</v>
      </c>
      <c r="H42" s="101">
        <v>41640</v>
      </c>
      <c r="I42" s="101">
        <v>43039</v>
      </c>
      <c r="J42" s="96">
        <v>0.75</v>
      </c>
      <c r="K42" s="96" t="s">
        <v>728</v>
      </c>
      <c r="L42" s="10" t="s">
        <v>491</v>
      </c>
      <c r="M42" s="10" t="s">
        <v>285</v>
      </c>
      <c r="N42" s="10" t="s">
        <v>286</v>
      </c>
      <c r="O42" s="10" t="s">
        <v>251</v>
      </c>
      <c r="P42" s="10" t="s">
        <v>601</v>
      </c>
      <c r="Q42" s="63">
        <f>+R42+S42+T42</f>
        <v>17586412.829999998</v>
      </c>
      <c r="R42" s="59">
        <v>13189809.619999999</v>
      </c>
      <c r="S42" s="59">
        <v>0</v>
      </c>
      <c r="T42" s="59">
        <v>4396603.21</v>
      </c>
      <c r="U42" s="59">
        <v>3383632.54</v>
      </c>
      <c r="V42" s="60">
        <v>0</v>
      </c>
      <c r="W42" s="59">
        <f>R42+S42+T42+U42+V42</f>
        <v>20970045.369999997</v>
      </c>
      <c r="X42" s="67" t="s">
        <v>254</v>
      </c>
      <c r="Y42" s="42">
        <v>14548.83</v>
      </c>
      <c r="Z42" s="84">
        <v>4849.6099999999997</v>
      </c>
    </row>
    <row r="43" spans="2:26" s="8" customFormat="1" ht="20.25" customHeight="1" x14ac:dyDescent="0.25">
      <c r="B43" s="77"/>
      <c r="C43" s="30" t="s">
        <v>188</v>
      </c>
      <c r="D43" s="30"/>
      <c r="E43" s="30"/>
      <c r="F43" s="30"/>
      <c r="G43" s="121"/>
      <c r="H43" s="30"/>
      <c r="I43" s="30"/>
      <c r="J43" s="30"/>
      <c r="K43" s="30"/>
      <c r="L43" s="30"/>
      <c r="M43" s="30"/>
      <c r="N43" s="30"/>
      <c r="O43" s="30"/>
      <c r="P43" s="30"/>
      <c r="Q43" s="43">
        <f t="shared" si="0"/>
        <v>501009141.5</v>
      </c>
      <c r="R43" s="43">
        <f>SUM(R40:R42)</f>
        <v>375756856.12</v>
      </c>
      <c r="S43" s="43">
        <f t="shared" ref="S43:Z43" si="9">SUM(S40:S42)</f>
        <v>0</v>
      </c>
      <c r="T43" s="43">
        <f t="shared" si="9"/>
        <v>125252285.38</v>
      </c>
      <c r="U43" s="43">
        <f t="shared" si="9"/>
        <v>142727934.16999999</v>
      </c>
      <c r="V43" s="43">
        <f t="shared" si="9"/>
        <v>0</v>
      </c>
      <c r="W43" s="43">
        <f t="shared" si="9"/>
        <v>643737075.67000008</v>
      </c>
      <c r="X43" s="43"/>
      <c r="Y43" s="43">
        <f t="shared" si="9"/>
        <v>97223779.920000002</v>
      </c>
      <c r="Z43" s="78">
        <f t="shared" si="9"/>
        <v>32407926.640000004</v>
      </c>
    </row>
    <row r="44" spans="2:26" s="8" customFormat="1" ht="93.75" customHeight="1" x14ac:dyDescent="0.25">
      <c r="B44" s="79">
        <f>+B42+1</f>
        <v>25</v>
      </c>
      <c r="C44" s="111" t="s">
        <v>51</v>
      </c>
      <c r="D44" s="7" t="s">
        <v>52</v>
      </c>
      <c r="E44" s="37">
        <v>103839</v>
      </c>
      <c r="F44" s="114" t="s">
        <v>96</v>
      </c>
      <c r="G44" s="120" t="s">
        <v>291</v>
      </c>
      <c r="H44" s="101">
        <v>42370</v>
      </c>
      <c r="I44" s="101">
        <v>43450</v>
      </c>
      <c r="J44" s="96">
        <v>0.75</v>
      </c>
      <c r="K44" s="96" t="s">
        <v>728</v>
      </c>
      <c r="L44" s="10" t="s">
        <v>495</v>
      </c>
      <c r="M44" s="10" t="s">
        <v>292</v>
      </c>
      <c r="N44" s="10" t="s">
        <v>293</v>
      </c>
      <c r="O44" s="10" t="s">
        <v>251</v>
      </c>
      <c r="P44" s="10" t="s">
        <v>601</v>
      </c>
      <c r="Q44" s="63">
        <f t="shared" si="0"/>
        <v>23047539</v>
      </c>
      <c r="R44" s="61">
        <v>17285654</v>
      </c>
      <c r="S44" s="61">
        <v>5300934</v>
      </c>
      <c r="T44" s="61">
        <v>460951</v>
      </c>
      <c r="U44" s="61">
        <v>4990554</v>
      </c>
      <c r="V44" s="61">
        <v>2770249</v>
      </c>
      <c r="W44" s="61">
        <f>R44+S44+T44+U44+V44</f>
        <v>30808342</v>
      </c>
      <c r="X44" s="63" t="s">
        <v>254</v>
      </c>
      <c r="Y44" s="41">
        <v>14973421.139999999</v>
      </c>
      <c r="Z44" s="76">
        <v>4591849.1500000004</v>
      </c>
    </row>
    <row r="45" spans="2:26" s="8" customFormat="1" ht="18.75" customHeight="1" x14ac:dyDescent="0.25">
      <c r="B45" s="77"/>
      <c r="C45" s="30" t="s">
        <v>54</v>
      </c>
      <c r="D45" s="30"/>
      <c r="E45" s="30"/>
      <c r="F45" s="30"/>
      <c r="G45" s="121"/>
      <c r="H45" s="30"/>
      <c r="I45" s="30"/>
      <c r="J45" s="30"/>
      <c r="K45" s="30"/>
      <c r="L45" s="30"/>
      <c r="M45" s="30"/>
      <c r="N45" s="30"/>
      <c r="O45" s="30"/>
      <c r="P45" s="30"/>
      <c r="Q45" s="43">
        <f t="shared" si="0"/>
        <v>23047539</v>
      </c>
      <c r="R45" s="43">
        <f t="shared" ref="R45:W45" si="10">+R44</f>
        <v>17285654</v>
      </c>
      <c r="S45" s="43">
        <f t="shared" si="10"/>
        <v>5300934</v>
      </c>
      <c r="T45" s="43">
        <f>+T44</f>
        <v>460951</v>
      </c>
      <c r="U45" s="43">
        <f t="shared" si="10"/>
        <v>4990554</v>
      </c>
      <c r="V45" s="43">
        <f t="shared" si="10"/>
        <v>2770249</v>
      </c>
      <c r="W45" s="43">
        <f t="shared" si="10"/>
        <v>30808342</v>
      </c>
      <c r="X45" s="43"/>
      <c r="Y45" s="43">
        <f>Y44</f>
        <v>14973421.139999999</v>
      </c>
      <c r="Z45" s="78">
        <f>Z44</f>
        <v>4591849.1500000004</v>
      </c>
    </row>
    <row r="46" spans="2:26" s="8" customFormat="1" ht="80.25" customHeight="1" x14ac:dyDescent="0.25">
      <c r="B46" s="85">
        <f>+B44+1</f>
        <v>26</v>
      </c>
      <c r="C46" s="228" t="s">
        <v>225</v>
      </c>
      <c r="D46" s="7" t="s">
        <v>224</v>
      </c>
      <c r="E46" s="7">
        <v>115216</v>
      </c>
      <c r="F46" s="24" t="s">
        <v>158</v>
      </c>
      <c r="G46" s="120" t="s">
        <v>294</v>
      </c>
      <c r="H46" s="101">
        <v>41730</v>
      </c>
      <c r="I46" s="101">
        <v>43765</v>
      </c>
      <c r="J46" s="96">
        <v>0.75</v>
      </c>
      <c r="K46" s="96" t="s">
        <v>728</v>
      </c>
      <c r="L46" s="6" t="s">
        <v>495</v>
      </c>
      <c r="M46" s="6" t="s">
        <v>292</v>
      </c>
      <c r="N46" s="6"/>
      <c r="O46" s="10" t="s">
        <v>251</v>
      </c>
      <c r="P46" s="6" t="s">
        <v>601</v>
      </c>
      <c r="Q46" s="61">
        <f>+R46+S46+T46</f>
        <v>37305115.730000004</v>
      </c>
      <c r="R46" s="61">
        <v>27978836.800000001</v>
      </c>
      <c r="S46" s="61">
        <v>0</v>
      </c>
      <c r="T46" s="60">
        <v>9326278.9299999997</v>
      </c>
      <c r="U46" s="60">
        <v>12160232.26</v>
      </c>
      <c r="V46" s="65">
        <v>0</v>
      </c>
      <c r="W46" s="61">
        <f>R46+S46+T46+U46+V46</f>
        <v>49465347.990000002</v>
      </c>
      <c r="X46" s="63" t="s">
        <v>254</v>
      </c>
      <c r="Y46" s="41">
        <v>14657834.4</v>
      </c>
      <c r="Z46" s="76">
        <v>4885944.8</v>
      </c>
    </row>
    <row r="47" spans="2:26" s="8" customFormat="1" ht="96" customHeight="1" x14ac:dyDescent="0.25">
      <c r="B47" s="85">
        <f>+B46+1</f>
        <v>27</v>
      </c>
      <c r="C47" s="230"/>
      <c r="D47" s="7" t="s">
        <v>226</v>
      </c>
      <c r="E47" s="37">
        <v>114831</v>
      </c>
      <c r="F47" s="114" t="s">
        <v>227</v>
      </c>
      <c r="G47" s="122" t="s">
        <v>304</v>
      </c>
      <c r="H47" s="10" t="s">
        <v>596</v>
      </c>
      <c r="I47" s="101">
        <v>43641</v>
      </c>
      <c r="J47" s="96">
        <v>0.75</v>
      </c>
      <c r="K47" s="96" t="s">
        <v>728</v>
      </c>
      <c r="L47" s="10" t="s">
        <v>484</v>
      </c>
      <c r="M47" s="10" t="s">
        <v>485</v>
      </c>
      <c r="N47" s="10"/>
      <c r="O47" s="10" t="s">
        <v>251</v>
      </c>
      <c r="P47" s="6" t="s">
        <v>601</v>
      </c>
      <c r="Q47" s="61">
        <f>+R47+S47+T47</f>
        <v>27430904.640000001</v>
      </c>
      <c r="R47" s="61">
        <v>20573178.48</v>
      </c>
      <c r="S47" s="61">
        <v>0</v>
      </c>
      <c r="T47" s="61">
        <v>6857726.1600000001</v>
      </c>
      <c r="U47" s="60">
        <v>15666169.560000001</v>
      </c>
      <c r="V47" s="60">
        <v>8925496.4700000007</v>
      </c>
      <c r="W47" s="61">
        <f>R47+S47+T47+U47+V47</f>
        <v>52022570.670000002</v>
      </c>
      <c r="X47" s="63" t="s">
        <v>254</v>
      </c>
      <c r="Y47" s="41">
        <f>811807.81+10398391.42+51504.02+55984.97</f>
        <v>11317688.220000001</v>
      </c>
      <c r="Z47" s="41">
        <f>3736733.08+17168.01+18661.65</f>
        <v>3772562.7399999998</v>
      </c>
    </row>
    <row r="48" spans="2:26" s="8" customFormat="1" ht="96" customHeight="1" x14ac:dyDescent="0.25">
      <c r="B48" s="85">
        <f>+B47+1</f>
        <v>28</v>
      </c>
      <c r="C48" s="195" t="s">
        <v>225</v>
      </c>
      <c r="D48" s="7" t="s">
        <v>691</v>
      </c>
      <c r="E48" s="37">
        <v>117138</v>
      </c>
      <c r="F48" s="197" t="s">
        <v>150</v>
      </c>
      <c r="G48" s="202"/>
      <c r="H48" s="10" t="s">
        <v>694</v>
      </c>
      <c r="I48" s="97">
        <v>43100</v>
      </c>
      <c r="J48" s="96">
        <v>0.75</v>
      </c>
      <c r="K48" s="96" t="s">
        <v>728</v>
      </c>
      <c r="L48" s="196" t="s">
        <v>490</v>
      </c>
      <c r="M48" s="196" t="s">
        <v>692</v>
      </c>
      <c r="N48" s="196"/>
      <c r="O48" s="10" t="s">
        <v>251</v>
      </c>
      <c r="P48" s="6" t="s">
        <v>693</v>
      </c>
      <c r="Q48" s="61">
        <f>+R48+S48+T48</f>
        <v>626270.69999999995</v>
      </c>
      <c r="R48" s="61">
        <v>469703.02</v>
      </c>
      <c r="S48" s="61">
        <v>0</v>
      </c>
      <c r="T48" s="61">
        <v>156567.67999999999</v>
      </c>
      <c r="U48" s="60">
        <v>123450.3</v>
      </c>
      <c r="V48" s="60">
        <v>0</v>
      </c>
      <c r="W48" s="61">
        <f>R48+S48+T48+U48+V48</f>
        <v>749721</v>
      </c>
      <c r="X48" s="63" t="s">
        <v>254</v>
      </c>
      <c r="Y48" s="41">
        <v>0</v>
      </c>
      <c r="Z48" s="41">
        <v>0</v>
      </c>
    </row>
    <row r="49" spans="2:30" s="8" customFormat="1" ht="18.75" customHeight="1" x14ac:dyDescent="0.25">
      <c r="B49" s="77"/>
      <c r="C49" s="40" t="s">
        <v>697</v>
      </c>
      <c r="D49" s="30"/>
      <c r="E49" s="30"/>
      <c r="F49" s="40"/>
      <c r="G49" s="127"/>
      <c r="H49" s="93"/>
      <c r="I49" s="93"/>
      <c r="J49" s="93"/>
      <c r="K49" s="93"/>
      <c r="L49" s="93"/>
      <c r="M49" s="93"/>
      <c r="N49" s="93"/>
      <c r="O49" s="93"/>
      <c r="P49" s="93"/>
      <c r="Q49" s="66">
        <f>SUM(Q46:Q48)</f>
        <v>65362291.070000008</v>
      </c>
      <c r="R49" s="43">
        <f>SUM(R46:R48)</f>
        <v>49021718.300000004</v>
      </c>
      <c r="S49" s="43">
        <f t="shared" ref="S49:W49" si="11">SUM(S46:S48)</f>
        <v>0</v>
      </c>
      <c r="T49" s="43">
        <f t="shared" si="11"/>
        <v>16340572.77</v>
      </c>
      <c r="U49" s="43">
        <f t="shared" si="11"/>
        <v>27949852.120000001</v>
      </c>
      <c r="V49" s="43">
        <f t="shared" si="11"/>
        <v>8925496.4700000007</v>
      </c>
      <c r="W49" s="43">
        <f t="shared" si="11"/>
        <v>102237639.66</v>
      </c>
      <c r="X49" s="43"/>
      <c r="Y49" s="43">
        <f t="shared" ref="Y49" si="12">SUM(Y46:Y47)</f>
        <v>25975522.620000001</v>
      </c>
      <c r="Z49" s="78">
        <f>SUM(Z46:Z47)</f>
        <v>8658507.5399999991</v>
      </c>
    </row>
    <row r="50" spans="2:30" s="8" customFormat="1" ht="75.75" customHeight="1" x14ac:dyDescent="0.25">
      <c r="B50" s="79">
        <v>29</v>
      </c>
      <c r="C50" s="228" t="s">
        <v>180</v>
      </c>
      <c r="D50" s="7" t="s">
        <v>173</v>
      </c>
      <c r="E50" s="7">
        <v>114060</v>
      </c>
      <c r="F50" s="24" t="s">
        <v>158</v>
      </c>
      <c r="G50" s="120" t="s">
        <v>308</v>
      </c>
      <c r="H50" s="10" t="s">
        <v>309</v>
      </c>
      <c r="I50" s="99">
        <v>43755</v>
      </c>
      <c r="J50" s="96">
        <v>0.75</v>
      </c>
      <c r="K50" s="96" t="s">
        <v>728</v>
      </c>
      <c r="L50" s="6" t="s">
        <v>501</v>
      </c>
      <c r="M50" s="6" t="s">
        <v>502</v>
      </c>
      <c r="N50" s="6"/>
      <c r="O50" s="10" t="s">
        <v>251</v>
      </c>
      <c r="P50" s="6" t="s">
        <v>601</v>
      </c>
      <c r="Q50" s="63">
        <f t="shared" si="0"/>
        <v>30680172.490000002</v>
      </c>
      <c r="R50" s="63">
        <v>23010129.370000001</v>
      </c>
      <c r="S50" s="60">
        <v>0</v>
      </c>
      <c r="T50" s="60">
        <v>7670043.1200000001</v>
      </c>
      <c r="U50" s="60">
        <v>7081987.3700000001</v>
      </c>
      <c r="V50" s="60">
        <v>806047.22</v>
      </c>
      <c r="W50" s="61">
        <f>R50+S50+T50+U50+V50</f>
        <v>38568207.079999998</v>
      </c>
      <c r="X50" s="68" t="s">
        <v>254</v>
      </c>
      <c r="Y50" s="41">
        <v>10579270.23</v>
      </c>
      <c r="Z50" s="41">
        <v>3526423.4</v>
      </c>
    </row>
    <row r="51" spans="2:30" s="8" customFormat="1" ht="80.25" customHeight="1" x14ac:dyDescent="0.25">
      <c r="B51" s="79">
        <f>+B50+1</f>
        <v>30</v>
      </c>
      <c r="C51" s="229"/>
      <c r="D51" s="7" t="s">
        <v>174</v>
      </c>
      <c r="E51" s="7">
        <v>110707</v>
      </c>
      <c r="F51" s="24" t="s">
        <v>158</v>
      </c>
      <c r="G51" s="120" t="s">
        <v>410</v>
      </c>
      <c r="H51" s="110" t="s">
        <v>411</v>
      </c>
      <c r="I51" s="10" t="s">
        <v>412</v>
      </c>
      <c r="J51" s="96">
        <v>0.75</v>
      </c>
      <c r="K51" s="96" t="s">
        <v>728</v>
      </c>
      <c r="L51" s="6" t="s">
        <v>486</v>
      </c>
      <c r="M51" s="6" t="s">
        <v>496</v>
      </c>
      <c r="N51" s="6"/>
      <c r="O51" s="10" t="s">
        <v>251</v>
      </c>
      <c r="P51" s="6" t="s">
        <v>601</v>
      </c>
      <c r="Q51" s="63">
        <f t="shared" si="0"/>
        <v>9681480.5099999998</v>
      </c>
      <c r="R51" s="63">
        <v>7261110.3799999999</v>
      </c>
      <c r="S51" s="60">
        <v>0</v>
      </c>
      <c r="T51" s="60">
        <v>2420370.13</v>
      </c>
      <c r="U51" s="60">
        <v>2295786.6300000004</v>
      </c>
      <c r="V51" s="60">
        <v>52563.839999999997</v>
      </c>
      <c r="W51" s="61">
        <f>R51+S51+T51+U51+V51</f>
        <v>12029830.98</v>
      </c>
      <c r="X51" s="68" t="s">
        <v>254</v>
      </c>
      <c r="Y51" s="41">
        <v>6378552.2400000002</v>
      </c>
      <c r="Z51" s="41">
        <v>2126184.08</v>
      </c>
    </row>
    <row r="52" spans="2:30" s="8" customFormat="1" ht="57.75" customHeight="1" x14ac:dyDescent="0.25">
      <c r="B52" s="79">
        <f t="shared" ref="B52:B54" si="13">+B51+1</f>
        <v>31</v>
      </c>
      <c r="C52" s="229"/>
      <c r="D52" s="7" t="s">
        <v>175</v>
      </c>
      <c r="E52" s="7">
        <v>111698</v>
      </c>
      <c r="F52" s="24" t="s">
        <v>158</v>
      </c>
      <c r="G52" s="120" t="s">
        <v>704</v>
      </c>
      <c r="H52" s="10"/>
      <c r="I52" s="10"/>
      <c r="J52" s="96">
        <v>0.75</v>
      </c>
      <c r="K52" s="96" t="s">
        <v>728</v>
      </c>
      <c r="L52" s="6" t="s">
        <v>484</v>
      </c>
      <c r="M52" s="6" t="s">
        <v>485</v>
      </c>
      <c r="N52" s="6"/>
      <c r="O52" s="10" t="s">
        <v>251</v>
      </c>
      <c r="P52" s="6" t="s">
        <v>601</v>
      </c>
      <c r="Q52" s="63">
        <f t="shared" si="0"/>
        <v>11633074.890000001</v>
      </c>
      <c r="R52" s="63">
        <v>8724806.1699999999</v>
      </c>
      <c r="S52" s="60">
        <v>0</v>
      </c>
      <c r="T52" s="60">
        <v>2908268.72</v>
      </c>
      <c r="U52" s="60">
        <v>3303425.77</v>
      </c>
      <c r="V52" s="60">
        <v>690097.66</v>
      </c>
      <c r="W52" s="61">
        <f>R52+S52+T52+U52+V52</f>
        <v>15626598.32</v>
      </c>
      <c r="X52" s="68" t="s">
        <v>254</v>
      </c>
      <c r="Y52" s="41">
        <v>5718715.29</v>
      </c>
      <c r="Z52" s="41">
        <v>1906238.42</v>
      </c>
    </row>
    <row r="53" spans="2:30" s="8" customFormat="1" ht="98.25" customHeight="1" x14ac:dyDescent="0.25">
      <c r="B53" s="79">
        <f t="shared" si="13"/>
        <v>32</v>
      </c>
      <c r="C53" s="229"/>
      <c r="D53" s="7" t="s">
        <v>305</v>
      </c>
      <c r="E53" s="7">
        <v>114059</v>
      </c>
      <c r="F53" s="24" t="s">
        <v>158</v>
      </c>
      <c r="G53" s="120" t="s">
        <v>306</v>
      </c>
      <c r="H53" s="101" t="s">
        <v>307</v>
      </c>
      <c r="I53" s="101">
        <v>43566</v>
      </c>
      <c r="J53" s="96">
        <v>0.75</v>
      </c>
      <c r="K53" s="96" t="s">
        <v>728</v>
      </c>
      <c r="L53" s="6" t="s">
        <v>486</v>
      </c>
      <c r="M53" s="6" t="s">
        <v>503</v>
      </c>
      <c r="N53" s="6"/>
      <c r="O53" s="10" t="s">
        <v>251</v>
      </c>
      <c r="P53" s="6" t="s">
        <v>601</v>
      </c>
      <c r="Q53" s="63">
        <f t="shared" si="0"/>
        <v>15726960.359999999</v>
      </c>
      <c r="R53" s="63">
        <v>11795220.27</v>
      </c>
      <c r="S53" s="60">
        <v>0</v>
      </c>
      <c r="T53" s="60">
        <v>3931740.09</v>
      </c>
      <c r="U53" s="60">
        <v>5539858.2999999998</v>
      </c>
      <c r="V53" s="60">
        <v>2310613.17</v>
      </c>
      <c r="W53" s="61">
        <f>R53+S53+T53+U53+V53</f>
        <v>23577431.829999998</v>
      </c>
      <c r="X53" s="68" t="s">
        <v>254</v>
      </c>
      <c r="Y53" s="41">
        <v>5379178.04</v>
      </c>
      <c r="Z53" s="76">
        <v>1793059.35</v>
      </c>
    </row>
    <row r="54" spans="2:30" s="8" customFormat="1" ht="60.75" customHeight="1" x14ac:dyDescent="0.25">
      <c r="B54" s="79">
        <f t="shared" si="13"/>
        <v>33</v>
      </c>
      <c r="C54" s="230"/>
      <c r="D54" s="7" t="s">
        <v>624</v>
      </c>
      <c r="E54" s="7">
        <v>114234</v>
      </c>
      <c r="F54" s="24" t="s">
        <v>158</v>
      </c>
      <c r="G54" s="120" t="s">
        <v>311</v>
      </c>
      <c r="H54" s="10" t="s">
        <v>310</v>
      </c>
      <c r="I54" s="101">
        <v>43524</v>
      </c>
      <c r="J54" s="96">
        <v>0.75</v>
      </c>
      <c r="K54" s="96" t="s">
        <v>728</v>
      </c>
      <c r="L54" s="6" t="s">
        <v>490</v>
      </c>
      <c r="M54" s="6" t="s">
        <v>489</v>
      </c>
      <c r="N54" s="6"/>
      <c r="O54" s="10" t="s">
        <v>251</v>
      </c>
      <c r="P54" s="6" t="s">
        <v>601</v>
      </c>
      <c r="Q54" s="63">
        <f t="shared" si="0"/>
        <v>34831868.359999999</v>
      </c>
      <c r="R54" s="61">
        <v>26123901.27</v>
      </c>
      <c r="S54" s="61">
        <v>0</v>
      </c>
      <c r="T54" s="61">
        <v>8707967.0899999999</v>
      </c>
      <c r="U54" s="61">
        <v>6880466.4299999997</v>
      </c>
      <c r="V54" s="61">
        <v>0</v>
      </c>
      <c r="W54" s="61">
        <f>R54+S54+T54+U54+V54</f>
        <v>41712334.789999999</v>
      </c>
      <c r="X54" s="68" t="s">
        <v>254</v>
      </c>
      <c r="Y54" s="41">
        <v>4287542.41</v>
      </c>
      <c r="Z54" s="76">
        <v>1429180.79</v>
      </c>
    </row>
    <row r="55" spans="2:30" s="8" customFormat="1" ht="24.75" customHeight="1" x14ac:dyDescent="0.25">
      <c r="B55" s="77"/>
      <c r="C55" s="30" t="s">
        <v>179</v>
      </c>
      <c r="D55" s="30"/>
      <c r="E55" s="30"/>
      <c r="F55" s="30"/>
      <c r="G55" s="121"/>
      <c r="H55" s="30"/>
      <c r="I55" s="30"/>
      <c r="J55" s="30"/>
      <c r="K55" s="30"/>
      <c r="L55" s="30"/>
      <c r="M55" s="30"/>
      <c r="N55" s="30"/>
      <c r="O55" s="30"/>
      <c r="P55" s="30"/>
      <c r="Q55" s="43">
        <f t="shared" si="0"/>
        <v>102553556.61</v>
      </c>
      <c r="R55" s="43">
        <f t="shared" ref="R55:W55" si="14">SUM(R50:R54)</f>
        <v>76915167.459999993</v>
      </c>
      <c r="S55" s="43">
        <f t="shared" si="14"/>
        <v>0</v>
      </c>
      <c r="T55" s="43">
        <f t="shared" si="14"/>
        <v>25638389.150000002</v>
      </c>
      <c r="U55" s="43">
        <f t="shared" si="14"/>
        <v>25101524.5</v>
      </c>
      <c r="V55" s="43">
        <f t="shared" si="14"/>
        <v>3859321.8899999997</v>
      </c>
      <c r="W55" s="43">
        <f t="shared" si="14"/>
        <v>131514403</v>
      </c>
      <c r="X55" s="43"/>
      <c r="Y55" s="43">
        <f>SUM(Y50:Y54)</f>
        <v>32343258.209999997</v>
      </c>
      <c r="Z55" s="78">
        <f>SUM(Z50:Z54)</f>
        <v>10781086.039999999</v>
      </c>
    </row>
    <row r="56" spans="2:30" s="8" customFormat="1" ht="18.75" customHeight="1" x14ac:dyDescent="0.25">
      <c r="B56" s="80"/>
      <c r="C56" s="32" t="s">
        <v>71</v>
      </c>
      <c r="D56" s="32"/>
      <c r="E56" s="32"/>
      <c r="F56" s="32"/>
      <c r="G56" s="123"/>
      <c r="H56" s="32"/>
      <c r="I56" s="32"/>
      <c r="J56" s="32"/>
      <c r="K56" s="32"/>
      <c r="L56" s="32"/>
      <c r="M56" s="32"/>
      <c r="N56" s="32"/>
      <c r="O56" s="32"/>
      <c r="P56" s="32"/>
      <c r="Q56" s="44">
        <f>+Q55+Q49+Q45+Q43+Q39</f>
        <v>3200984979.4499998</v>
      </c>
      <c r="R56" s="44">
        <f>+R39+R43+R45+R55+R49</f>
        <v>2400738734.3200002</v>
      </c>
      <c r="S56" s="44">
        <f t="shared" ref="S56:W56" si="15">+S39+S43+S45+S55+S49</f>
        <v>5300934</v>
      </c>
      <c r="T56" s="44">
        <f>+T39+T43+T45+T55+T49</f>
        <v>794945311.13</v>
      </c>
      <c r="U56" s="44">
        <f t="shared" si="15"/>
        <v>727605918.58000004</v>
      </c>
      <c r="V56" s="44">
        <f t="shared" si="15"/>
        <v>15555067.359999999</v>
      </c>
      <c r="W56" s="44">
        <f t="shared" si="15"/>
        <v>3944145965.3899999</v>
      </c>
      <c r="X56" s="44"/>
      <c r="Y56" s="44">
        <f>Y55+Y49+Y45+Y43+Y39</f>
        <v>800702754.69999993</v>
      </c>
      <c r="Z56" s="81">
        <f>Z55+Z49+Z45+Z43+Z39</f>
        <v>266501626.88</v>
      </c>
    </row>
    <row r="57" spans="2:30" ht="16.5" customHeight="1" x14ac:dyDescent="0.25">
      <c r="B57" s="73"/>
      <c r="C57" s="29" t="s">
        <v>16</v>
      </c>
      <c r="D57" s="29"/>
      <c r="E57" s="29"/>
      <c r="F57" s="29"/>
      <c r="G57" s="128"/>
      <c r="H57" s="103"/>
      <c r="I57" s="103"/>
      <c r="J57" s="103"/>
      <c r="K57" s="103"/>
      <c r="L57" s="103"/>
      <c r="M57" s="103"/>
      <c r="N57" s="103"/>
      <c r="O57" s="103"/>
      <c r="P57" s="103"/>
      <c r="Q57" s="48"/>
      <c r="R57" s="48"/>
      <c r="S57" s="48"/>
      <c r="T57" s="48"/>
      <c r="U57" s="48"/>
      <c r="V57" s="58"/>
      <c r="W57" s="58"/>
      <c r="X57" s="48"/>
      <c r="Y57" s="48"/>
      <c r="Z57" s="86"/>
      <c r="AA57" s="8"/>
      <c r="AB57" s="8"/>
    </row>
    <row r="58" spans="2:30" ht="57" customHeight="1" x14ac:dyDescent="0.25">
      <c r="B58" s="79">
        <f>+B54+1</f>
        <v>34</v>
      </c>
      <c r="C58" s="240" t="s">
        <v>4</v>
      </c>
      <c r="D58" s="37" t="s">
        <v>5</v>
      </c>
      <c r="E58" s="37">
        <v>101628</v>
      </c>
      <c r="F58" s="114" t="s">
        <v>6</v>
      </c>
      <c r="G58" s="120" t="s">
        <v>438</v>
      </c>
      <c r="H58" s="101">
        <v>41611</v>
      </c>
      <c r="I58" s="101">
        <v>43100</v>
      </c>
      <c r="J58" s="96">
        <v>0.85</v>
      </c>
      <c r="K58" s="96" t="s">
        <v>728</v>
      </c>
      <c r="L58" s="10" t="s">
        <v>497</v>
      </c>
      <c r="M58" s="10" t="s">
        <v>504</v>
      </c>
      <c r="N58" s="10" t="s">
        <v>504</v>
      </c>
      <c r="O58" s="10" t="s">
        <v>251</v>
      </c>
      <c r="P58" s="10" t="s">
        <v>602</v>
      </c>
      <c r="Q58" s="63">
        <f t="shared" si="0"/>
        <v>33539286</v>
      </c>
      <c r="R58" s="63">
        <v>28508393</v>
      </c>
      <c r="S58" s="63">
        <v>4360107</v>
      </c>
      <c r="T58" s="63">
        <v>670786</v>
      </c>
      <c r="U58" s="63">
        <v>7200236</v>
      </c>
      <c r="V58" s="67">
        <v>2676334</v>
      </c>
      <c r="W58" s="67">
        <f t="shared" ref="W58:W74" si="16">+R58+S58+T58+U58+V58</f>
        <v>43415856</v>
      </c>
      <c r="X58" s="63" t="s">
        <v>439</v>
      </c>
      <c r="Y58" s="41">
        <v>24255522.109999999</v>
      </c>
      <c r="Z58" s="41">
        <v>3709668.08</v>
      </c>
      <c r="AA58" s="8"/>
      <c r="AB58" s="8"/>
      <c r="AC58" s="5"/>
      <c r="AD58" s="5"/>
    </row>
    <row r="59" spans="2:30" s="8" customFormat="1" ht="69" customHeight="1" x14ac:dyDescent="0.25">
      <c r="B59" s="79">
        <f>+B58+1</f>
        <v>35</v>
      </c>
      <c r="C59" s="241"/>
      <c r="D59" s="7" t="s">
        <v>13</v>
      </c>
      <c r="E59" s="7">
        <v>103605</v>
      </c>
      <c r="F59" s="114" t="s">
        <v>217</v>
      </c>
      <c r="G59" s="120" t="s">
        <v>453</v>
      </c>
      <c r="H59" s="101">
        <v>42699</v>
      </c>
      <c r="I59" s="101">
        <v>43159</v>
      </c>
      <c r="J59" s="96">
        <v>0.85</v>
      </c>
      <c r="K59" s="96" t="s">
        <v>728</v>
      </c>
      <c r="L59" s="10" t="s">
        <v>497</v>
      </c>
      <c r="M59" s="10" t="s">
        <v>505</v>
      </c>
      <c r="N59" s="10" t="s">
        <v>505</v>
      </c>
      <c r="O59" s="10" t="s">
        <v>251</v>
      </c>
      <c r="P59" s="10" t="s">
        <v>602</v>
      </c>
      <c r="Q59" s="63">
        <f t="shared" si="0"/>
        <v>45042327</v>
      </c>
      <c r="R59" s="61">
        <v>38285978</v>
      </c>
      <c r="S59" s="61">
        <v>5855502</v>
      </c>
      <c r="T59" s="61">
        <v>900847</v>
      </c>
      <c r="U59" s="61">
        <v>9659516</v>
      </c>
      <c r="V59" s="61">
        <v>3255257</v>
      </c>
      <c r="W59" s="67">
        <f t="shared" si="16"/>
        <v>57957100</v>
      </c>
      <c r="X59" s="63" t="s">
        <v>439</v>
      </c>
      <c r="Y59" s="41">
        <v>32201534.309999999</v>
      </c>
      <c r="Z59" s="41">
        <v>4924940.54</v>
      </c>
    </row>
    <row r="60" spans="2:30" ht="59.25" customHeight="1" x14ac:dyDescent="0.25">
      <c r="B60" s="79">
        <f t="shared" ref="B60:B74" si="17">+B59+1</f>
        <v>36</v>
      </c>
      <c r="C60" s="241"/>
      <c r="D60" s="7" t="s">
        <v>24</v>
      </c>
      <c r="E60" s="7">
        <v>106554</v>
      </c>
      <c r="F60" s="114" t="s">
        <v>85</v>
      </c>
      <c r="G60" s="120" t="s">
        <v>385</v>
      </c>
      <c r="H60" s="10" t="s">
        <v>384</v>
      </c>
      <c r="I60" s="10" t="s">
        <v>271</v>
      </c>
      <c r="J60" s="96">
        <v>0.85</v>
      </c>
      <c r="K60" s="96" t="s">
        <v>728</v>
      </c>
      <c r="L60" s="10" t="s">
        <v>491</v>
      </c>
      <c r="M60" s="10" t="s">
        <v>492</v>
      </c>
      <c r="N60" s="10" t="s">
        <v>506</v>
      </c>
      <c r="O60" s="10" t="s">
        <v>251</v>
      </c>
      <c r="P60" s="10" t="s">
        <v>602</v>
      </c>
      <c r="Q60" s="63">
        <f t="shared" si="0"/>
        <v>79407300</v>
      </c>
      <c r="R60" s="61">
        <v>67496205</v>
      </c>
      <c r="S60" s="61">
        <v>10322949</v>
      </c>
      <c r="T60" s="61">
        <v>1588146</v>
      </c>
      <c r="U60" s="61">
        <v>19818591</v>
      </c>
      <c r="V60" s="61">
        <v>5357111</v>
      </c>
      <c r="W60" s="67">
        <f t="shared" si="16"/>
        <v>104583002</v>
      </c>
      <c r="X60" s="63" t="s">
        <v>254</v>
      </c>
      <c r="Y60" s="41">
        <v>42038933.479999997</v>
      </c>
      <c r="Z60" s="41">
        <v>6429483.9500000002</v>
      </c>
      <c r="AA60" s="8"/>
      <c r="AB60" s="8"/>
    </row>
    <row r="61" spans="2:30" s="8" customFormat="1" ht="63" customHeight="1" x14ac:dyDescent="0.25">
      <c r="B61" s="79">
        <f t="shared" si="17"/>
        <v>37</v>
      </c>
      <c r="C61" s="241"/>
      <c r="D61" s="7" t="str">
        <f>'[1]Contracte semnate POIM'!$D$16</f>
        <v>Fazarea proiectului Sistem de management integrat al deșeurilor în județul Brăila</v>
      </c>
      <c r="E61" s="7">
        <v>103731</v>
      </c>
      <c r="F61" s="114" t="s">
        <v>448</v>
      </c>
      <c r="G61" s="129" t="s">
        <v>449</v>
      </c>
      <c r="H61" s="101">
        <v>42980</v>
      </c>
      <c r="I61" s="101">
        <v>43496</v>
      </c>
      <c r="J61" s="96">
        <v>0.85</v>
      </c>
      <c r="K61" s="96" t="s">
        <v>728</v>
      </c>
      <c r="L61" s="10" t="s">
        <v>498</v>
      </c>
      <c r="M61" s="10" t="s">
        <v>505</v>
      </c>
      <c r="N61" s="10" t="s">
        <v>507</v>
      </c>
      <c r="O61" s="10" t="s">
        <v>251</v>
      </c>
      <c r="P61" s="10" t="s">
        <v>602</v>
      </c>
      <c r="Q61" s="63">
        <f t="shared" si="0"/>
        <v>30233615</v>
      </c>
      <c r="R61" s="61">
        <f>'[1]Contracte semnate POIM'!J16</f>
        <v>25698573</v>
      </c>
      <c r="S61" s="61">
        <f>'[1]Contracte semnate POIM'!K16</f>
        <v>3930370</v>
      </c>
      <c r="T61" s="61">
        <f>'[1]Contracte semnate POIM'!L16</f>
        <v>604672</v>
      </c>
      <c r="U61" s="61">
        <f>'[1]Contracte semnate POIM'!M16</f>
        <v>489798</v>
      </c>
      <c r="V61" s="61">
        <f>'[1]Contracte semnate POIM'!N16</f>
        <v>3457632</v>
      </c>
      <c r="W61" s="67">
        <f t="shared" si="16"/>
        <v>34181045</v>
      </c>
      <c r="X61" s="63" t="s">
        <v>254</v>
      </c>
      <c r="Y61" s="41">
        <v>3277525.4</v>
      </c>
      <c r="Z61" s="41">
        <v>501268.58999999997</v>
      </c>
    </row>
    <row r="62" spans="2:30" s="8" customFormat="1" ht="69.75" customHeight="1" x14ac:dyDescent="0.25">
      <c r="B62" s="79">
        <f t="shared" si="17"/>
        <v>38</v>
      </c>
      <c r="C62" s="241"/>
      <c r="D62" s="7" t="str">
        <f>'[1]Contracte semnate POIM'!$D$17</f>
        <v>Fazarea proiectului Sistem de management integrat al deseurilor în județul Alba</v>
      </c>
      <c r="E62" s="7">
        <v>106374</v>
      </c>
      <c r="F62" s="114" t="s">
        <v>94</v>
      </c>
      <c r="G62" s="130" t="s">
        <v>335</v>
      </c>
      <c r="H62" s="101">
        <v>42780</v>
      </c>
      <c r="I62" s="101">
        <v>43465</v>
      </c>
      <c r="J62" s="96">
        <v>0.85</v>
      </c>
      <c r="K62" s="96" t="s">
        <v>728</v>
      </c>
      <c r="L62" s="10" t="s">
        <v>486</v>
      </c>
      <c r="M62" s="10" t="s">
        <v>487</v>
      </c>
      <c r="N62" s="10" t="s">
        <v>508</v>
      </c>
      <c r="O62" s="10" t="s">
        <v>251</v>
      </c>
      <c r="P62" s="10" t="s">
        <v>602</v>
      </c>
      <c r="Q62" s="63">
        <f t="shared" si="0"/>
        <v>68927126</v>
      </c>
      <c r="R62" s="61">
        <f>'[1]Contracte semnate POIM'!J17</f>
        <v>58588057</v>
      </c>
      <c r="S62" s="61">
        <f>'[1]Contracte semnate POIM'!K17</f>
        <v>8960526</v>
      </c>
      <c r="T62" s="61">
        <f>'[1]Contracte semnate POIM'!L17</f>
        <v>1378543</v>
      </c>
      <c r="U62" s="61">
        <f>'[1]Contracte semnate POIM'!M17</f>
        <v>24564898</v>
      </c>
      <c r="V62" s="61">
        <f>'[1]Contracte semnate POIM'!N17</f>
        <v>6197807</v>
      </c>
      <c r="W62" s="67">
        <f t="shared" si="16"/>
        <v>99689831</v>
      </c>
      <c r="X62" s="63" t="s">
        <v>254</v>
      </c>
      <c r="Y62" s="41">
        <v>48392840.699999996</v>
      </c>
      <c r="Z62" s="41">
        <v>7401258</v>
      </c>
    </row>
    <row r="63" spans="2:30" s="8" customFormat="1" ht="70.5" customHeight="1" x14ac:dyDescent="0.25">
      <c r="B63" s="79">
        <f t="shared" si="17"/>
        <v>39</v>
      </c>
      <c r="C63" s="241"/>
      <c r="D63" s="7" t="s">
        <v>197</v>
      </c>
      <c r="E63" s="7">
        <v>106394</v>
      </c>
      <c r="F63" s="114" t="s">
        <v>106</v>
      </c>
      <c r="G63" s="120" t="s">
        <v>440</v>
      </c>
      <c r="H63" s="101">
        <v>42186</v>
      </c>
      <c r="I63" s="101">
        <v>43434</v>
      </c>
      <c r="J63" s="96">
        <v>0.85</v>
      </c>
      <c r="K63" s="96" t="s">
        <v>728</v>
      </c>
      <c r="L63" s="10" t="s">
        <v>491</v>
      </c>
      <c r="M63" s="10" t="s">
        <v>509</v>
      </c>
      <c r="N63" s="10" t="s">
        <v>510</v>
      </c>
      <c r="O63" s="10" t="s">
        <v>251</v>
      </c>
      <c r="P63" s="10" t="s">
        <v>602</v>
      </c>
      <c r="Q63" s="63">
        <f t="shared" si="0"/>
        <v>114628039.42</v>
      </c>
      <c r="R63" s="67">
        <v>97433833.480000004</v>
      </c>
      <c r="S63" s="61">
        <v>14901645.119999999</v>
      </c>
      <c r="T63" s="61">
        <v>2292560.8199999998</v>
      </c>
      <c r="U63" s="61">
        <v>35979014.759999998</v>
      </c>
      <c r="V63" s="61">
        <v>11461543.050000001</v>
      </c>
      <c r="W63" s="67">
        <f t="shared" si="16"/>
        <v>162068597.23000002</v>
      </c>
      <c r="X63" s="63" t="s">
        <v>254</v>
      </c>
      <c r="Y63" s="41">
        <v>65918095.280000009</v>
      </c>
      <c r="Z63" s="41">
        <v>10081591.060000001</v>
      </c>
    </row>
    <row r="64" spans="2:30" s="8" customFormat="1" ht="66" customHeight="1" x14ac:dyDescent="0.25">
      <c r="B64" s="79">
        <f t="shared" si="17"/>
        <v>40</v>
      </c>
      <c r="C64" s="241"/>
      <c r="D64" s="7" t="s">
        <v>198</v>
      </c>
      <c r="E64" s="7">
        <v>106647</v>
      </c>
      <c r="F64" s="114" t="s">
        <v>107</v>
      </c>
      <c r="G64" s="120" t="s">
        <v>312</v>
      </c>
      <c r="H64" s="101">
        <v>42858</v>
      </c>
      <c r="I64" s="101">
        <v>43434</v>
      </c>
      <c r="J64" s="96">
        <v>0.85</v>
      </c>
      <c r="K64" s="96" t="s">
        <v>728</v>
      </c>
      <c r="L64" s="10" t="s">
        <v>484</v>
      </c>
      <c r="M64" s="10" t="s">
        <v>511</v>
      </c>
      <c r="N64" s="10" t="s">
        <v>512</v>
      </c>
      <c r="O64" s="10" t="s">
        <v>251</v>
      </c>
      <c r="P64" s="10" t="s">
        <v>602</v>
      </c>
      <c r="Q64" s="63">
        <f t="shared" si="0"/>
        <v>23528609.129999999</v>
      </c>
      <c r="R64" s="61">
        <v>19999317.75</v>
      </c>
      <c r="S64" s="61">
        <v>3058719.18</v>
      </c>
      <c r="T64" s="61">
        <v>470572.2</v>
      </c>
      <c r="U64" s="61">
        <v>15111406.07</v>
      </c>
      <c r="V64" s="61">
        <f>25969767.25-23528609.13</f>
        <v>2441158.120000001</v>
      </c>
      <c r="W64" s="67">
        <f t="shared" si="16"/>
        <v>41081173.320000008</v>
      </c>
      <c r="X64" s="63" t="s">
        <v>254</v>
      </c>
      <c r="Y64" s="41">
        <v>8404842.7300000004</v>
      </c>
      <c r="Z64" s="41">
        <v>1285446.53</v>
      </c>
    </row>
    <row r="65" spans="2:28" s="8" customFormat="1" ht="77.25" customHeight="1" x14ac:dyDescent="0.25">
      <c r="B65" s="79">
        <f t="shared" si="17"/>
        <v>41</v>
      </c>
      <c r="C65" s="241"/>
      <c r="D65" s="7" t="s">
        <v>199</v>
      </c>
      <c r="E65" s="7">
        <v>107857</v>
      </c>
      <c r="F65" s="114" t="s">
        <v>132</v>
      </c>
      <c r="G65" s="120" t="s">
        <v>343</v>
      </c>
      <c r="H65" s="101">
        <v>42885</v>
      </c>
      <c r="I65" s="101">
        <v>43404</v>
      </c>
      <c r="J65" s="96">
        <v>0.85</v>
      </c>
      <c r="K65" s="96" t="s">
        <v>728</v>
      </c>
      <c r="L65" s="10" t="s">
        <v>501</v>
      </c>
      <c r="M65" s="10" t="s">
        <v>513</v>
      </c>
      <c r="N65" s="10" t="s">
        <v>502</v>
      </c>
      <c r="O65" s="10" t="s">
        <v>251</v>
      </c>
      <c r="P65" s="10" t="s">
        <v>602</v>
      </c>
      <c r="Q65" s="63">
        <f t="shared" si="0"/>
        <v>28226213.120000001</v>
      </c>
      <c r="R65" s="61">
        <v>23992281.149999999</v>
      </c>
      <c r="S65" s="64">
        <v>3669407.71</v>
      </c>
      <c r="T65" s="64">
        <v>564524.26</v>
      </c>
      <c r="U65" s="64">
        <v>5999747.6399999997</v>
      </c>
      <c r="V65" s="64">
        <v>2521295.73</v>
      </c>
      <c r="W65" s="67">
        <f t="shared" si="16"/>
        <v>36747256.489999995</v>
      </c>
      <c r="X65" s="63" t="s">
        <v>254</v>
      </c>
      <c r="Y65" s="41">
        <v>12295251.640000001</v>
      </c>
      <c r="Z65" s="41">
        <v>1880450.25</v>
      </c>
    </row>
    <row r="66" spans="2:28" s="8" customFormat="1" ht="83.25" customHeight="1" x14ac:dyDescent="0.25">
      <c r="B66" s="79">
        <f t="shared" si="17"/>
        <v>42</v>
      </c>
      <c r="C66" s="241"/>
      <c r="D66" s="7" t="s">
        <v>200</v>
      </c>
      <c r="E66" s="7">
        <v>106365</v>
      </c>
      <c r="F66" s="114" t="s">
        <v>138</v>
      </c>
      <c r="G66" s="120" t="s">
        <v>322</v>
      </c>
      <c r="H66" s="101">
        <v>42922</v>
      </c>
      <c r="I66" s="101">
        <v>43109</v>
      </c>
      <c r="J66" s="96">
        <v>0.85</v>
      </c>
      <c r="K66" s="96" t="s">
        <v>728</v>
      </c>
      <c r="L66" s="10" t="s">
        <v>495</v>
      </c>
      <c r="M66" s="10" t="s">
        <v>514</v>
      </c>
      <c r="N66" s="10" t="s">
        <v>515</v>
      </c>
      <c r="O66" s="10" t="s">
        <v>251</v>
      </c>
      <c r="P66" s="10" t="s">
        <v>602</v>
      </c>
      <c r="Q66" s="63">
        <f t="shared" si="0"/>
        <v>8621659.5099999998</v>
      </c>
      <c r="R66" s="61">
        <v>7328409.7800000003</v>
      </c>
      <c r="S66" s="61">
        <v>1120815.6200000001</v>
      </c>
      <c r="T66" s="61">
        <v>172434.11</v>
      </c>
      <c r="U66" s="61">
        <v>1649701.33</v>
      </c>
      <c r="V66" s="61">
        <v>568895.35</v>
      </c>
      <c r="W66" s="67">
        <f t="shared" si="16"/>
        <v>10840256.189999999</v>
      </c>
      <c r="X66" s="63" t="s">
        <v>254</v>
      </c>
      <c r="Y66" s="41">
        <v>6283035.21</v>
      </c>
      <c r="Z66" s="41">
        <v>960934.8</v>
      </c>
    </row>
    <row r="67" spans="2:28" s="8" customFormat="1" ht="49.5" customHeight="1" x14ac:dyDescent="0.25">
      <c r="B67" s="79">
        <f t="shared" si="17"/>
        <v>43</v>
      </c>
      <c r="C67" s="241"/>
      <c r="D67" s="7" t="s">
        <v>201</v>
      </c>
      <c r="E67" s="7">
        <v>110880</v>
      </c>
      <c r="F67" s="114" t="s">
        <v>147</v>
      </c>
      <c r="G67" s="120" t="s">
        <v>337</v>
      </c>
      <c r="H67" s="10" t="s">
        <v>368</v>
      </c>
      <c r="I67" s="10" t="s">
        <v>369</v>
      </c>
      <c r="J67" s="96">
        <v>0.85</v>
      </c>
      <c r="K67" s="96" t="s">
        <v>728</v>
      </c>
      <c r="L67" s="10" t="s">
        <v>497</v>
      </c>
      <c r="M67" s="10" t="s">
        <v>370</v>
      </c>
      <c r="N67" s="10" t="s">
        <v>370</v>
      </c>
      <c r="O67" s="10" t="s">
        <v>251</v>
      </c>
      <c r="P67" s="10" t="s">
        <v>602</v>
      </c>
      <c r="Q67" s="63">
        <f t="shared" si="0"/>
        <v>58165520.990000002</v>
      </c>
      <c r="R67" s="61">
        <v>49440692.840000004</v>
      </c>
      <c r="S67" s="61">
        <v>7561517.7400000002</v>
      </c>
      <c r="T67" s="61">
        <v>1163310.4099999999</v>
      </c>
      <c r="U67" s="61">
        <v>19378818.469999999</v>
      </c>
      <c r="V67" s="61">
        <v>6405439.2599999998</v>
      </c>
      <c r="W67" s="67">
        <f t="shared" si="16"/>
        <v>83949778.720000014</v>
      </c>
      <c r="X67" s="63" t="s">
        <v>254</v>
      </c>
      <c r="Y67" s="41">
        <v>5529436.8899999997</v>
      </c>
      <c r="Z67" s="41">
        <v>845678.58</v>
      </c>
    </row>
    <row r="68" spans="2:28" s="8" customFormat="1" ht="65.25" customHeight="1" x14ac:dyDescent="0.25">
      <c r="B68" s="79">
        <f t="shared" si="17"/>
        <v>44</v>
      </c>
      <c r="C68" s="241"/>
      <c r="D68" s="7" t="s">
        <v>202</v>
      </c>
      <c r="E68" s="7">
        <v>101692</v>
      </c>
      <c r="F68" s="114" t="s">
        <v>159</v>
      </c>
      <c r="G68" s="120" t="s">
        <v>344</v>
      </c>
      <c r="H68" s="101">
        <v>42940</v>
      </c>
      <c r="I68" s="101">
        <v>43281</v>
      </c>
      <c r="J68" s="96">
        <v>0.85</v>
      </c>
      <c r="K68" s="96" t="s">
        <v>728</v>
      </c>
      <c r="L68" s="10" t="s">
        <v>491</v>
      </c>
      <c r="M68" s="10" t="s">
        <v>516</v>
      </c>
      <c r="N68" s="10" t="s">
        <v>516</v>
      </c>
      <c r="O68" s="10" t="s">
        <v>251</v>
      </c>
      <c r="P68" s="10" t="s">
        <v>602</v>
      </c>
      <c r="Q68" s="63">
        <f t="shared" si="0"/>
        <v>118805678.92</v>
      </c>
      <c r="R68" s="61">
        <v>100984827.08</v>
      </c>
      <c r="S68" s="61">
        <v>15444738.26</v>
      </c>
      <c r="T68" s="61">
        <v>2376113.58</v>
      </c>
      <c r="U68" s="61">
        <v>69989658.439999998</v>
      </c>
      <c r="V68" s="61">
        <v>10866531.210000001</v>
      </c>
      <c r="W68" s="67">
        <f t="shared" si="16"/>
        <v>199661868.57000002</v>
      </c>
      <c r="X68" s="63" t="s">
        <v>254</v>
      </c>
      <c r="Y68" s="41">
        <v>2712094.6599999997</v>
      </c>
      <c r="Z68" s="41">
        <v>414790.95</v>
      </c>
    </row>
    <row r="69" spans="2:28" s="8" customFormat="1" ht="94.5" customHeight="1" x14ac:dyDescent="0.25">
      <c r="B69" s="79">
        <f t="shared" si="17"/>
        <v>45</v>
      </c>
      <c r="C69" s="241"/>
      <c r="D69" s="7" t="s">
        <v>203</v>
      </c>
      <c r="E69" s="7">
        <v>106400</v>
      </c>
      <c r="F69" s="114" t="s">
        <v>165</v>
      </c>
      <c r="G69" s="131" t="s">
        <v>452</v>
      </c>
      <c r="H69" s="101">
        <v>42944</v>
      </c>
      <c r="I69" s="101">
        <v>43190</v>
      </c>
      <c r="J69" s="96">
        <v>0.85</v>
      </c>
      <c r="K69" s="96" t="s">
        <v>728</v>
      </c>
      <c r="L69" s="10" t="s">
        <v>501</v>
      </c>
      <c r="M69" s="10" t="s">
        <v>517</v>
      </c>
      <c r="N69" s="10" t="s">
        <v>517</v>
      </c>
      <c r="O69" s="10" t="s">
        <v>251</v>
      </c>
      <c r="P69" s="10" t="s">
        <v>602</v>
      </c>
      <c r="Q69" s="63">
        <f t="shared" si="0"/>
        <v>17903633.919999998</v>
      </c>
      <c r="R69" s="61">
        <v>15218088.82</v>
      </c>
      <c r="S69" s="61">
        <v>2327472.4</v>
      </c>
      <c r="T69" s="61">
        <v>358072.7</v>
      </c>
      <c r="U69" s="61">
        <v>4682742.99</v>
      </c>
      <c r="V69" s="61">
        <v>1232357.8700000001</v>
      </c>
      <c r="W69" s="67">
        <f t="shared" si="16"/>
        <v>23818734.779999997</v>
      </c>
      <c r="X69" s="63" t="s">
        <v>254</v>
      </c>
      <c r="Y69" s="41">
        <v>4150911.3200000003</v>
      </c>
      <c r="Z69" s="76">
        <v>634845.26</v>
      </c>
    </row>
    <row r="70" spans="2:28" s="8" customFormat="1" ht="204.75" customHeight="1" x14ac:dyDescent="0.25">
      <c r="B70" s="79">
        <f t="shared" si="17"/>
        <v>46</v>
      </c>
      <c r="C70" s="241"/>
      <c r="D70" s="7" t="s">
        <v>231</v>
      </c>
      <c r="E70" s="7">
        <v>109845</v>
      </c>
      <c r="F70" s="114" t="s">
        <v>639</v>
      </c>
      <c r="G70" s="120" t="s">
        <v>460</v>
      </c>
      <c r="H70" s="101">
        <v>42998</v>
      </c>
      <c r="I70" s="101">
        <v>43465</v>
      </c>
      <c r="J70" s="96">
        <v>0.85</v>
      </c>
      <c r="K70" s="96" t="s">
        <v>728</v>
      </c>
      <c r="L70" s="10" t="s">
        <v>497</v>
      </c>
      <c r="M70" s="10" t="s">
        <v>518</v>
      </c>
      <c r="N70" s="10" t="s">
        <v>519</v>
      </c>
      <c r="O70" s="10" t="s">
        <v>251</v>
      </c>
      <c r="P70" s="10" t="s">
        <v>602</v>
      </c>
      <c r="Q70" s="63">
        <f t="shared" si="0"/>
        <v>36950312.189999998</v>
      </c>
      <c r="R70" s="61">
        <v>31407765.359999999</v>
      </c>
      <c r="S70" s="61">
        <f>4803540.58+739006.25</f>
        <v>5542546.8300000001</v>
      </c>
      <c r="T70" s="61">
        <v>0</v>
      </c>
      <c r="U70" s="61">
        <v>7771128.04</v>
      </c>
      <c r="V70" s="61">
        <v>2764124.83</v>
      </c>
      <c r="W70" s="67">
        <f t="shared" si="16"/>
        <v>47485565.059999995</v>
      </c>
      <c r="X70" s="63" t="s">
        <v>254</v>
      </c>
      <c r="Y70" s="41">
        <v>0</v>
      </c>
      <c r="Z70" s="76">
        <v>0</v>
      </c>
    </row>
    <row r="71" spans="2:28" s="8" customFormat="1" ht="166.5" customHeight="1" x14ac:dyDescent="0.25">
      <c r="B71" s="79">
        <f t="shared" si="17"/>
        <v>47</v>
      </c>
      <c r="C71" s="242"/>
      <c r="D71" s="7" t="s">
        <v>247</v>
      </c>
      <c r="E71" s="7">
        <v>112630</v>
      </c>
      <c r="F71" s="114" t="s">
        <v>640</v>
      </c>
      <c r="G71" s="120" t="s">
        <v>578</v>
      </c>
      <c r="H71" s="101">
        <v>43034</v>
      </c>
      <c r="I71" s="101">
        <v>43465</v>
      </c>
      <c r="J71" s="96">
        <v>0.85</v>
      </c>
      <c r="K71" s="96" t="s">
        <v>728</v>
      </c>
      <c r="L71" s="10" t="s">
        <v>498</v>
      </c>
      <c r="M71" s="10" t="s">
        <v>372</v>
      </c>
      <c r="N71" s="10" t="s">
        <v>520</v>
      </c>
      <c r="O71" s="10" t="s">
        <v>251</v>
      </c>
      <c r="P71" s="10" t="s">
        <v>602</v>
      </c>
      <c r="Q71" s="63">
        <f t="shared" si="0"/>
        <v>47639697.460000001</v>
      </c>
      <c r="R71" s="61">
        <v>40493742.859999999</v>
      </c>
      <c r="S71" s="61">
        <v>6193160.6699999999</v>
      </c>
      <c r="T71" s="61">
        <v>952793.93</v>
      </c>
      <c r="U71" s="61">
        <v>11521503.85</v>
      </c>
      <c r="V71" s="61">
        <v>5281539.4400000004</v>
      </c>
      <c r="W71" s="67">
        <f t="shared" si="16"/>
        <v>64442740.75</v>
      </c>
      <c r="X71" s="63" t="s">
        <v>254</v>
      </c>
      <c r="Y71" s="41">
        <v>14692452.489999998</v>
      </c>
      <c r="Z71" s="41">
        <v>2247080.9700000002</v>
      </c>
    </row>
    <row r="72" spans="2:28" s="8" customFormat="1" ht="90" customHeight="1" x14ac:dyDescent="0.25">
      <c r="B72" s="79">
        <f t="shared" si="17"/>
        <v>48</v>
      </c>
      <c r="C72" s="109"/>
      <c r="D72" s="7" t="s">
        <v>521</v>
      </c>
      <c r="E72" s="7">
        <v>108991</v>
      </c>
      <c r="F72" s="6" t="s">
        <v>522</v>
      </c>
      <c r="G72" s="122" t="s">
        <v>592</v>
      </c>
      <c r="H72" s="101" t="s">
        <v>582</v>
      </c>
      <c r="I72" s="101">
        <v>43677</v>
      </c>
      <c r="J72" s="96">
        <v>0.85</v>
      </c>
      <c r="K72" s="96" t="s">
        <v>728</v>
      </c>
      <c r="L72" s="10" t="s">
        <v>501</v>
      </c>
      <c r="M72" s="10" t="s">
        <v>523</v>
      </c>
      <c r="N72" s="10"/>
      <c r="O72" s="10" t="s">
        <v>251</v>
      </c>
      <c r="P72" s="10" t="s">
        <v>602</v>
      </c>
      <c r="Q72" s="63">
        <f>+R72+S72+T72</f>
        <v>15800976.83</v>
      </c>
      <c r="R72" s="61">
        <v>13430830.300000001</v>
      </c>
      <c r="S72" s="61">
        <v>2054126.99</v>
      </c>
      <c r="T72" s="61">
        <v>316019.53999999998</v>
      </c>
      <c r="U72" s="61">
        <v>3276719.29</v>
      </c>
      <c r="V72" s="61">
        <v>1056994.82</v>
      </c>
      <c r="W72" s="67">
        <f t="shared" si="16"/>
        <v>20134690.940000001</v>
      </c>
      <c r="X72" s="63" t="s">
        <v>254</v>
      </c>
      <c r="Y72" s="41">
        <v>0</v>
      </c>
      <c r="Z72" s="76">
        <v>0</v>
      </c>
    </row>
    <row r="73" spans="2:28" s="8" customFormat="1" ht="77.25" customHeight="1" x14ac:dyDescent="0.25">
      <c r="B73" s="79">
        <f t="shared" si="17"/>
        <v>49</v>
      </c>
      <c r="C73" s="109"/>
      <c r="D73" s="7" t="s">
        <v>576</v>
      </c>
      <c r="E73" s="7">
        <v>106359</v>
      </c>
      <c r="F73" s="6" t="s">
        <v>577</v>
      </c>
      <c r="G73" s="122" t="s">
        <v>593</v>
      </c>
      <c r="H73" s="101" t="s">
        <v>583</v>
      </c>
      <c r="I73" s="101">
        <v>43646</v>
      </c>
      <c r="J73" s="96">
        <v>0.85</v>
      </c>
      <c r="K73" s="96" t="s">
        <v>728</v>
      </c>
      <c r="L73" s="10" t="s">
        <v>495</v>
      </c>
      <c r="M73" s="10" t="s">
        <v>537</v>
      </c>
      <c r="N73" s="10"/>
      <c r="O73" s="10" t="s">
        <v>251</v>
      </c>
      <c r="P73" s="10" t="s">
        <v>602</v>
      </c>
      <c r="Q73" s="63">
        <f>+R73+S73+T73</f>
        <v>105875030.31</v>
      </c>
      <c r="R73" s="61">
        <v>89993775.799999997</v>
      </c>
      <c r="S73" s="61">
        <v>13763753.9</v>
      </c>
      <c r="T73" s="64">
        <v>2117500.61</v>
      </c>
      <c r="U73" s="61">
        <v>25387345.879999999</v>
      </c>
      <c r="V73" s="61">
        <v>7323975.6900000004</v>
      </c>
      <c r="W73" s="67">
        <f t="shared" si="16"/>
        <v>138586351.88</v>
      </c>
      <c r="X73" s="63" t="s">
        <v>254</v>
      </c>
      <c r="Y73" s="41">
        <v>0</v>
      </c>
      <c r="Z73" s="76">
        <v>0</v>
      </c>
    </row>
    <row r="74" spans="2:28" s="8" customFormat="1" ht="105" customHeight="1" x14ac:dyDescent="0.25">
      <c r="B74" s="83">
        <f t="shared" si="17"/>
        <v>50</v>
      </c>
      <c r="C74" s="164"/>
      <c r="D74" s="7" t="s">
        <v>655</v>
      </c>
      <c r="E74" s="7">
        <v>102122</v>
      </c>
      <c r="F74" s="6" t="s">
        <v>656</v>
      </c>
      <c r="G74" s="122" t="s">
        <v>668</v>
      </c>
      <c r="H74" s="101" t="s">
        <v>657</v>
      </c>
      <c r="I74" s="101">
        <v>43465</v>
      </c>
      <c r="J74" s="96">
        <v>0.85</v>
      </c>
      <c r="K74" s="96" t="s">
        <v>728</v>
      </c>
      <c r="L74" s="10" t="s">
        <v>495</v>
      </c>
      <c r="M74" s="10" t="s">
        <v>292</v>
      </c>
      <c r="N74" s="10"/>
      <c r="O74" s="10" t="s">
        <v>251</v>
      </c>
      <c r="P74" s="10" t="s">
        <v>602</v>
      </c>
      <c r="Q74" s="63">
        <f>+R74+S74+T74</f>
        <v>121005084.17000002</v>
      </c>
      <c r="R74" s="64">
        <v>102854321.54000001</v>
      </c>
      <c r="S74" s="64">
        <v>15730660.57</v>
      </c>
      <c r="T74" s="61">
        <v>2420102.06</v>
      </c>
      <c r="U74" s="61">
        <v>2962414.28</v>
      </c>
      <c r="V74" s="61">
        <v>8926285.0700000003</v>
      </c>
      <c r="W74" s="67">
        <f t="shared" si="16"/>
        <v>132893783.52000001</v>
      </c>
      <c r="X74" s="63" t="s">
        <v>254</v>
      </c>
      <c r="Y74" s="41"/>
      <c r="Z74" s="76"/>
    </row>
    <row r="75" spans="2:28" ht="23.25" customHeight="1" x14ac:dyDescent="0.25">
      <c r="B75" s="87"/>
      <c r="C75" s="31" t="s">
        <v>14</v>
      </c>
      <c r="D75" s="31"/>
      <c r="E75" s="31"/>
      <c r="F75" s="31"/>
      <c r="G75" s="132"/>
      <c r="H75" s="31"/>
      <c r="I75" s="31"/>
      <c r="J75" s="250"/>
      <c r="K75" s="251"/>
      <c r="L75" s="31"/>
      <c r="M75" s="31"/>
      <c r="N75" s="31"/>
      <c r="O75" s="31"/>
      <c r="P75" s="31"/>
      <c r="Q75" s="43">
        <f t="shared" si="0"/>
        <v>954300109.96999991</v>
      </c>
      <c r="R75" s="43">
        <f>SUM(R58:R74)</f>
        <v>811155092.75999987</v>
      </c>
      <c r="S75" s="43">
        <f t="shared" ref="S75:W75" si="18">SUM(S58:S74)</f>
        <v>124798018.99000001</v>
      </c>
      <c r="T75" s="43">
        <f t="shared" si="18"/>
        <v>18346998.219999999</v>
      </c>
      <c r="U75" s="43">
        <f t="shared" si="18"/>
        <v>265443240.03999996</v>
      </c>
      <c r="V75" s="43">
        <f t="shared" si="18"/>
        <v>81794281.439999998</v>
      </c>
      <c r="W75" s="43">
        <f t="shared" si="18"/>
        <v>1301537631.4500003</v>
      </c>
      <c r="X75" s="43"/>
      <c r="Y75" s="43">
        <f>SUM(Y58:Y74)</f>
        <v>270152476.21999997</v>
      </c>
      <c r="Z75" s="43">
        <f>SUM(Z58:Z74)</f>
        <v>41317437.559999995</v>
      </c>
      <c r="AA75" s="12"/>
      <c r="AB75" s="8"/>
    </row>
    <row r="76" spans="2:28" ht="80.25" customHeight="1" x14ac:dyDescent="0.25">
      <c r="B76" s="79">
        <v>51</v>
      </c>
      <c r="C76" s="240" t="s">
        <v>7</v>
      </c>
      <c r="D76" s="7" t="s">
        <v>8</v>
      </c>
      <c r="E76" s="7">
        <v>101054</v>
      </c>
      <c r="F76" s="114" t="s">
        <v>9</v>
      </c>
      <c r="G76" s="131" t="s">
        <v>625</v>
      </c>
      <c r="H76" s="102">
        <v>42654</v>
      </c>
      <c r="I76" s="102">
        <v>43131</v>
      </c>
      <c r="J76" s="96">
        <v>0.85</v>
      </c>
      <c r="K76" s="96" t="s">
        <v>728</v>
      </c>
      <c r="L76" s="114" t="s">
        <v>497</v>
      </c>
      <c r="M76" s="114" t="s">
        <v>524</v>
      </c>
      <c r="N76" s="114"/>
      <c r="O76" s="114" t="s">
        <v>641</v>
      </c>
      <c r="P76" s="10" t="s">
        <v>602</v>
      </c>
      <c r="Q76" s="61">
        <f t="shared" si="0"/>
        <v>4431510</v>
      </c>
      <c r="R76" s="61">
        <v>3766784</v>
      </c>
      <c r="S76" s="61">
        <v>620411</v>
      </c>
      <c r="T76" s="61">
        <v>44315</v>
      </c>
      <c r="U76" s="61">
        <v>886302</v>
      </c>
      <c r="V76" s="61">
        <v>0</v>
      </c>
      <c r="W76" s="61">
        <f t="shared" ref="W76:W107" si="19">+R76+S76+T76+U76+V76</f>
        <v>5317812</v>
      </c>
      <c r="X76" s="68" t="s">
        <v>254</v>
      </c>
      <c r="Y76" s="41">
        <v>779641.34</v>
      </c>
      <c r="Z76" s="41">
        <v>128411.51</v>
      </c>
      <c r="AA76" s="8"/>
      <c r="AB76" s="8"/>
    </row>
    <row r="77" spans="2:28" ht="48" customHeight="1" x14ac:dyDescent="0.25">
      <c r="B77" s="79">
        <f t="shared" ref="B77:B137" si="20">B76+1</f>
        <v>52</v>
      </c>
      <c r="C77" s="241"/>
      <c r="D77" s="7" t="s">
        <v>10</v>
      </c>
      <c r="E77" s="7">
        <v>103033</v>
      </c>
      <c r="F77" s="114" t="s">
        <v>11</v>
      </c>
      <c r="G77" s="120" t="s">
        <v>451</v>
      </c>
      <c r="H77" s="101">
        <v>42662</v>
      </c>
      <c r="I77" s="101">
        <v>43830</v>
      </c>
      <c r="J77" s="96">
        <v>0.85</v>
      </c>
      <c r="K77" s="96" t="s">
        <v>728</v>
      </c>
      <c r="L77" s="10" t="s">
        <v>484</v>
      </c>
      <c r="M77" s="10" t="s">
        <v>525</v>
      </c>
      <c r="N77" s="10" t="s">
        <v>515</v>
      </c>
      <c r="O77" s="155" t="s">
        <v>641</v>
      </c>
      <c r="P77" s="10" t="s">
        <v>602</v>
      </c>
      <c r="Q77" s="63">
        <f t="shared" si="0"/>
        <v>199361184</v>
      </c>
      <c r="R77" s="61">
        <v>169457006</v>
      </c>
      <c r="S77" s="61">
        <v>25916954</v>
      </c>
      <c r="T77" s="61">
        <v>3987224</v>
      </c>
      <c r="U77" s="61">
        <v>42660365</v>
      </c>
      <c r="V77" s="61">
        <v>16842247</v>
      </c>
      <c r="W77" s="61">
        <f t="shared" si="19"/>
        <v>258863796</v>
      </c>
      <c r="X77" s="68" t="s">
        <v>439</v>
      </c>
      <c r="Y77" s="41">
        <v>45385935.880000003</v>
      </c>
      <c r="Z77" s="41">
        <v>6941378.4200000009</v>
      </c>
      <c r="AA77" s="8"/>
      <c r="AB77" s="8"/>
    </row>
    <row r="78" spans="2:28" ht="224.25" customHeight="1" x14ac:dyDescent="0.25">
      <c r="B78" s="79">
        <f t="shared" si="20"/>
        <v>53</v>
      </c>
      <c r="C78" s="241"/>
      <c r="D78" s="7" t="s">
        <v>12</v>
      </c>
      <c r="E78" s="7">
        <v>102021</v>
      </c>
      <c r="F78" s="114" t="s">
        <v>81</v>
      </c>
      <c r="G78" s="120" t="s">
        <v>579</v>
      </c>
      <c r="H78" s="101">
        <v>42682</v>
      </c>
      <c r="I78" s="101">
        <v>43159</v>
      </c>
      <c r="J78" s="96">
        <v>0.85</v>
      </c>
      <c r="K78" s="96" t="s">
        <v>728</v>
      </c>
      <c r="L78" s="10" t="s">
        <v>484</v>
      </c>
      <c r="M78" s="10" t="s">
        <v>499</v>
      </c>
      <c r="N78" s="10" t="s">
        <v>526</v>
      </c>
      <c r="O78" s="155" t="s">
        <v>641</v>
      </c>
      <c r="P78" s="10" t="s">
        <v>602</v>
      </c>
      <c r="Q78" s="63">
        <f t="shared" si="0"/>
        <v>61914772</v>
      </c>
      <c r="R78" s="61">
        <v>52627556</v>
      </c>
      <c r="S78" s="61">
        <v>8048920</v>
      </c>
      <c r="T78" s="61">
        <v>1238296</v>
      </c>
      <c r="U78" s="61">
        <v>9257130</v>
      </c>
      <c r="V78" s="61">
        <v>4085411</v>
      </c>
      <c r="W78" s="61">
        <f t="shared" si="19"/>
        <v>75257313</v>
      </c>
      <c r="X78" s="68" t="s">
        <v>254</v>
      </c>
      <c r="Y78" s="41">
        <v>39783086.829999998</v>
      </c>
      <c r="Z78" s="41">
        <v>6084472.1100000003</v>
      </c>
      <c r="AA78" s="8"/>
      <c r="AB78" s="8"/>
    </row>
    <row r="79" spans="2:28" ht="76.5" customHeight="1" x14ac:dyDescent="0.25">
      <c r="B79" s="79">
        <f t="shared" si="20"/>
        <v>54</v>
      </c>
      <c r="C79" s="241"/>
      <c r="D79" s="7" t="s">
        <v>17</v>
      </c>
      <c r="E79" s="7">
        <v>103967</v>
      </c>
      <c r="F79" s="114" t="s">
        <v>82</v>
      </c>
      <c r="G79" s="120" t="s">
        <v>345</v>
      </c>
      <c r="H79" s="101">
        <v>42502</v>
      </c>
      <c r="I79" s="101" t="s">
        <v>346</v>
      </c>
      <c r="J79" s="96">
        <v>0.85</v>
      </c>
      <c r="K79" s="96" t="s">
        <v>728</v>
      </c>
      <c r="L79" s="10" t="s">
        <v>501</v>
      </c>
      <c r="M79" s="10" t="s">
        <v>517</v>
      </c>
      <c r="N79" s="10" t="s">
        <v>517</v>
      </c>
      <c r="O79" s="155" t="s">
        <v>641</v>
      </c>
      <c r="P79" s="10" t="s">
        <v>602</v>
      </c>
      <c r="Q79" s="63">
        <f t="shared" si="0"/>
        <v>271602960</v>
      </c>
      <c r="R79" s="61">
        <v>230862516</v>
      </c>
      <c r="S79" s="61">
        <v>35308385</v>
      </c>
      <c r="T79" s="61">
        <v>5432059</v>
      </c>
      <c r="U79" s="61">
        <v>62303111</v>
      </c>
      <c r="V79" s="61">
        <v>22021862</v>
      </c>
      <c r="W79" s="61">
        <f t="shared" si="19"/>
        <v>355927933</v>
      </c>
      <c r="X79" s="68" t="s">
        <v>254</v>
      </c>
      <c r="Y79" s="41">
        <v>3565333.3200000003</v>
      </c>
      <c r="Z79" s="41">
        <v>545286.27</v>
      </c>
      <c r="AA79" s="8"/>
      <c r="AB79" s="8"/>
    </row>
    <row r="80" spans="2:28" ht="39.75" customHeight="1" x14ac:dyDescent="0.25">
      <c r="B80" s="79">
        <f t="shared" si="20"/>
        <v>55</v>
      </c>
      <c r="C80" s="241"/>
      <c r="D80" s="7" t="s">
        <v>18</v>
      </c>
      <c r="E80" s="7">
        <v>104337</v>
      </c>
      <c r="F80" s="114" t="s">
        <v>83</v>
      </c>
      <c r="G80" s="133" t="s">
        <v>338</v>
      </c>
      <c r="H80" s="10" t="s">
        <v>371</v>
      </c>
      <c r="I80" s="10" t="s">
        <v>268</v>
      </c>
      <c r="J80" s="96">
        <v>0.85</v>
      </c>
      <c r="K80" s="96" t="s">
        <v>728</v>
      </c>
      <c r="L80" s="10" t="s">
        <v>498</v>
      </c>
      <c r="M80" s="10" t="s">
        <v>372</v>
      </c>
      <c r="N80" s="10" t="s">
        <v>527</v>
      </c>
      <c r="O80" s="155" t="s">
        <v>641</v>
      </c>
      <c r="P80" s="10" t="s">
        <v>602</v>
      </c>
      <c r="Q80" s="63">
        <f t="shared" si="0"/>
        <v>221477882</v>
      </c>
      <c r="R80" s="61">
        <v>188256200</v>
      </c>
      <c r="S80" s="61">
        <v>28792124</v>
      </c>
      <c r="T80" s="61">
        <v>4429558</v>
      </c>
      <c r="U80" s="61">
        <v>96509544</v>
      </c>
      <c r="V80" s="61">
        <v>14757129</v>
      </c>
      <c r="W80" s="61">
        <f t="shared" si="19"/>
        <v>332744555</v>
      </c>
      <c r="X80" s="68" t="s">
        <v>254</v>
      </c>
      <c r="Y80" s="41">
        <v>50739504.659999996</v>
      </c>
      <c r="Z80" s="76">
        <v>7760159.5499999998</v>
      </c>
      <c r="AA80" s="8"/>
      <c r="AB80" s="8"/>
    </row>
    <row r="81" spans="2:28" ht="153" x14ac:dyDescent="0.25">
      <c r="B81" s="79">
        <f t="shared" si="20"/>
        <v>56</v>
      </c>
      <c r="C81" s="241"/>
      <c r="D81" s="7" t="s">
        <v>19</v>
      </c>
      <c r="E81" s="7">
        <v>105146</v>
      </c>
      <c r="F81" s="114" t="s">
        <v>84</v>
      </c>
      <c r="G81" s="120" t="s">
        <v>327</v>
      </c>
      <c r="H81" s="101">
        <v>42719</v>
      </c>
      <c r="I81" s="101">
        <v>43861</v>
      </c>
      <c r="J81" s="96">
        <v>0.85</v>
      </c>
      <c r="K81" s="96" t="s">
        <v>728</v>
      </c>
      <c r="L81" s="10" t="s">
        <v>501</v>
      </c>
      <c r="M81" s="10" t="s">
        <v>528</v>
      </c>
      <c r="N81" s="10" t="s">
        <v>528</v>
      </c>
      <c r="O81" s="155" t="s">
        <v>641</v>
      </c>
      <c r="P81" s="10" t="s">
        <v>602</v>
      </c>
      <c r="Q81" s="63">
        <f t="shared" si="0"/>
        <v>235224439</v>
      </c>
      <c r="R81" s="61">
        <v>199940773</v>
      </c>
      <c r="S81" s="61">
        <v>30579177</v>
      </c>
      <c r="T81" s="61">
        <v>4704489</v>
      </c>
      <c r="U81" s="61">
        <v>50027615</v>
      </c>
      <c r="V81" s="61">
        <v>18250172</v>
      </c>
      <c r="W81" s="61">
        <f t="shared" si="19"/>
        <v>303502226</v>
      </c>
      <c r="X81" s="68" t="s">
        <v>254</v>
      </c>
      <c r="Y81" s="41">
        <v>50877196.260000005</v>
      </c>
      <c r="Z81" s="76">
        <v>7781272.2400000002</v>
      </c>
      <c r="AA81" s="8"/>
      <c r="AB81" s="8"/>
    </row>
    <row r="82" spans="2:28" s="8" customFormat="1" ht="140.25" customHeight="1" x14ac:dyDescent="0.25">
      <c r="B82" s="79">
        <f t="shared" si="20"/>
        <v>57</v>
      </c>
      <c r="C82" s="241"/>
      <c r="D82" s="7" t="s">
        <v>21</v>
      </c>
      <c r="E82" s="7">
        <v>104101</v>
      </c>
      <c r="F82" s="114" t="s">
        <v>86</v>
      </c>
      <c r="G82" s="120" t="s">
        <v>454</v>
      </c>
      <c r="H82" s="101">
        <v>42724</v>
      </c>
      <c r="I82" s="101">
        <v>43524</v>
      </c>
      <c r="J82" s="96">
        <v>0.85</v>
      </c>
      <c r="K82" s="96" t="s">
        <v>728</v>
      </c>
      <c r="L82" s="10" t="s">
        <v>498</v>
      </c>
      <c r="M82" s="10" t="s">
        <v>457</v>
      </c>
      <c r="N82" s="10" t="s">
        <v>527</v>
      </c>
      <c r="O82" s="155" t="s">
        <v>641</v>
      </c>
      <c r="P82" s="10" t="s">
        <v>602</v>
      </c>
      <c r="Q82" s="63">
        <f t="shared" si="0"/>
        <v>92979526</v>
      </c>
      <c r="R82" s="61">
        <v>79032597</v>
      </c>
      <c r="S82" s="61">
        <v>12087338</v>
      </c>
      <c r="T82" s="61">
        <v>1859591</v>
      </c>
      <c r="U82" s="61">
        <v>21134929</v>
      </c>
      <c r="V82" s="61">
        <v>12695118</v>
      </c>
      <c r="W82" s="61">
        <f t="shared" si="19"/>
        <v>126809573</v>
      </c>
      <c r="X82" s="68" t="s">
        <v>254</v>
      </c>
      <c r="Y82" s="41">
        <v>60860605.070000008</v>
      </c>
      <c r="Z82" s="76">
        <v>9308092.5199999996</v>
      </c>
    </row>
    <row r="83" spans="2:28" s="8" customFormat="1" ht="54" customHeight="1" x14ac:dyDescent="0.25">
      <c r="B83" s="79">
        <f t="shared" si="20"/>
        <v>58</v>
      </c>
      <c r="C83" s="241"/>
      <c r="D83" s="7" t="s">
        <v>22</v>
      </c>
      <c r="E83" s="7">
        <v>102050</v>
      </c>
      <c r="F83" s="114" t="s">
        <v>87</v>
      </c>
      <c r="G83" s="120" t="s">
        <v>339</v>
      </c>
      <c r="H83" s="10" t="s">
        <v>373</v>
      </c>
      <c r="I83" s="10" t="s">
        <v>374</v>
      </c>
      <c r="J83" s="96">
        <v>0.85</v>
      </c>
      <c r="K83" s="96" t="s">
        <v>728</v>
      </c>
      <c r="L83" s="10" t="s">
        <v>490</v>
      </c>
      <c r="M83" s="10" t="s">
        <v>489</v>
      </c>
      <c r="N83" s="10" t="s">
        <v>489</v>
      </c>
      <c r="O83" s="155" t="s">
        <v>641</v>
      </c>
      <c r="P83" s="10" t="s">
        <v>602</v>
      </c>
      <c r="Q83" s="63">
        <f t="shared" si="0"/>
        <v>1029054034</v>
      </c>
      <c r="R83" s="61">
        <v>874695929</v>
      </c>
      <c r="S83" s="61">
        <v>133777024</v>
      </c>
      <c r="T83" s="61">
        <v>20581081</v>
      </c>
      <c r="U83" s="61">
        <v>289699740</v>
      </c>
      <c r="V83" s="61">
        <v>419444666</v>
      </c>
      <c r="W83" s="61">
        <f t="shared" si="19"/>
        <v>1738198440</v>
      </c>
      <c r="X83" s="68" t="s">
        <v>254</v>
      </c>
      <c r="Y83" s="41">
        <v>7936030.1799999997</v>
      </c>
      <c r="Z83" s="41">
        <v>1213745.79</v>
      </c>
    </row>
    <row r="84" spans="2:28" s="8" customFormat="1" ht="39.75" customHeight="1" x14ac:dyDescent="0.25">
      <c r="B84" s="79">
        <f t="shared" si="20"/>
        <v>59</v>
      </c>
      <c r="C84" s="241"/>
      <c r="D84" s="7" t="s">
        <v>23</v>
      </c>
      <c r="E84" s="7">
        <v>105422</v>
      </c>
      <c r="F84" s="114" t="s">
        <v>88</v>
      </c>
      <c r="G84" s="130" t="s">
        <v>358</v>
      </c>
      <c r="H84" s="101">
        <v>42726</v>
      </c>
      <c r="I84" s="101">
        <v>43220</v>
      </c>
      <c r="J84" s="96">
        <v>0.85</v>
      </c>
      <c r="K84" s="96" t="s">
        <v>728</v>
      </c>
      <c r="L84" s="10" t="s">
        <v>491</v>
      </c>
      <c r="M84" s="10" t="s">
        <v>285</v>
      </c>
      <c r="N84" s="10" t="s">
        <v>285</v>
      </c>
      <c r="O84" s="155" t="s">
        <v>641</v>
      </c>
      <c r="P84" s="10" t="s">
        <v>602</v>
      </c>
      <c r="Q84" s="63">
        <f t="shared" si="0"/>
        <v>62918272</v>
      </c>
      <c r="R84" s="61">
        <v>53480531</v>
      </c>
      <c r="S84" s="61">
        <v>8179375</v>
      </c>
      <c r="T84" s="61">
        <v>1258366</v>
      </c>
      <c r="U84" s="61">
        <v>13427524</v>
      </c>
      <c r="V84" s="61">
        <v>5219341</v>
      </c>
      <c r="W84" s="61">
        <f t="shared" si="19"/>
        <v>81565137</v>
      </c>
      <c r="X84" s="68" t="s">
        <v>254</v>
      </c>
      <c r="Y84" s="41">
        <v>33757794.009999998</v>
      </c>
      <c r="Z84" s="76">
        <v>5162956.7400000012</v>
      </c>
    </row>
    <row r="85" spans="2:28" s="8" customFormat="1" ht="56.25" customHeight="1" x14ac:dyDescent="0.25">
      <c r="B85" s="79">
        <f t="shared" si="20"/>
        <v>60</v>
      </c>
      <c r="C85" s="241"/>
      <c r="D85" s="7" t="s">
        <v>26</v>
      </c>
      <c r="E85" s="7">
        <v>106130</v>
      </c>
      <c r="F85" s="114" t="s">
        <v>90</v>
      </c>
      <c r="G85" s="120" t="s">
        <v>462</v>
      </c>
      <c r="H85" s="101">
        <v>42731</v>
      </c>
      <c r="I85" s="101">
        <v>43524</v>
      </c>
      <c r="J85" s="96">
        <v>0.85</v>
      </c>
      <c r="K85" s="96" t="s">
        <v>728</v>
      </c>
      <c r="L85" s="10" t="s">
        <v>501</v>
      </c>
      <c r="M85" s="10" t="s">
        <v>529</v>
      </c>
      <c r="N85" s="10" t="s">
        <v>529</v>
      </c>
      <c r="O85" s="155" t="s">
        <v>641</v>
      </c>
      <c r="P85" s="10" t="s">
        <v>602</v>
      </c>
      <c r="Q85" s="63">
        <f t="shared" si="0"/>
        <v>78829046</v>
      </c>
      <c r="R85" s="61">
        <v>67004689</v>
      </c>
      <c r="S85" s="61">
        <v>10247776</v>
      </c>
      <c r="T85" s="61">
        <v>1576581</v>
      </c>
      <c r="U85" s="61">
        <v>17295731</v>
      </c>
      <c r="V85" s="61">
        <v>7649611</v>
      </c>
      <c r="W85" s="61">
        <f t="shared" si="19"/>
        <v>103774388</v>
      </c>
      <c r="X85" s="68" t="s">
        <v>254</v>
      </c>
      <c r="Y85" s="41">
        <v>49237327.940000005</v>
      </c>
      <c r="Z85" s="41">
        <v>7530414.8600000003</v>
      </c>
    </row>
    <row r="86" spans="2:28" s="8" customFormat="1" ht="65.25" customHeight="1" x14ac:dyDescent="0.25">
      <c r="B86" s="79">
        <f t="shared" si="20"/>
        <v>61</v>
      </c>
      <c r="C86" s="241"/>
      <c r="D86" s="7" t="s">
        <v>27</v>
      </c>
      <c r="E86" s="7">
        <v>104740</v>
      </c>
      <c r="F86" s="114" t="s">
        <v>91</v>
      </c>
      <c r="G86" s="120" t="s">
        <v>328</v>
      </c>
      <c r="H86" s="101">
        <v>42734</v>
      </c>
      <c r="I86" s="101">
        <v>43524</v>
      </c>
      <c r="J86" s="96">
        <v>0.85</v>
      </c>
      <c r="K86" s="96" t="s">
        <v>728</v>
      </c>
      <c r="L86" s="10" t="s">
        <v>484</v>
      </c>
      <c r="M86" s="10" t="s">
        <v>485</v>
      </c>
      <c r="N86" s="10" t="s">
        <v>530</v>
      </c>
      <c r="O86" s="155" t="s">
        <v>641</v>
      </c>
      <c r="P86" s="10" t="s">
        <v>602</v>
      </c>
      <c r="Q86" s="63">
        <f t="shared" si="0"/>
        <v>54826027</v>
      </c>
      <c r="R86" s="61">
        <v>46602123</v>
      </c>
      <c r="S86" s="61">
        <v>7127383</v>
      </c>
      <c r="T86" s="61">
        <v>1096521</v>
      </c>
      <c r="U86" s="61">
        <v>12467164</v>
      </c>
      <c r="V86" s="61">
        <v>8221382</v>
      </c>
      <c r="W86" s="61">
        <f t="shared" si="19"/>
        <v>75514573</v>
      </c>
      <c r="X86" s="68" t="s">
        <v>254</v>
      </c>
      <c r="Y86" s="41">
        <v>9489533.879999999</v>
      </c>
      <c r="Z86" s="41">
        <v>1451340.48</v>
      </c>
    </row>
    <row r="87" spans="2:28" s="8" customFormat="1" ht="41.25" customHeight="1" x14ac:dyDescent="0.25">
      <c r="B87" s="79">
        <f t="shared" si="20"/>
        <v>62</v>
      </c>
      <c r="C87" s="241"/>
      <c r="D87" s="7" t="s">
        <v>28</v>
      </c>
      <c r="E87" s="7">
        <v>105327</v>
      </c>
      <c r="F87" s="114" t="s">
        <v>92</v>
      </c>
      <c r="G87" s="134" t="s">
        <v>626</v>
      </c>
      <c r="H87" s="10" t="s">
        <v>386</v>
      </c>
      <c r="I87" s="10" t="s">
        <v>267</v>
      </c>
      <c r="J87" s="96">
        <v>0.85</v>
      </c>
      <c r="K87" s="96" t="s">
        <v>728</v>
      </c>
      <c r="L87" s="10" t="s">
        <v>491</v>
      </c>
      <c r="M87" s="10" t="s">
        <v>509</v>
      </c>
      <c r="N87" s="10" t="s">
        <v>510</v>
      </c>
      <c r="O87" s="155" t="s">
        <v>641</v>
      </c>
      <c r="P87" s="10" t="s">
        <v>602</v>
      </c>
      <c r="Q87" s="63">
        <f t="shared" si="0"/>
        <v>107863562</v>
      </c>
      <c r="R87" s="61">
        <v>91684028</v>
      </c>
      <c r="S87" s="61">
        <v>14022263</v>
      </c>
      <c r="T87" s="61">
        <v>2157271</v>
      </c>
      <c r="U87" s="61">
        <v>23427815</v>
      </c>
      <c r="V87" s="61">
        <v>10732988</v>
      </c>
      <c r="W87" s="61">
        <f t="shared" si="19"/>
        <v>142024365</v>
      </c>
      <c r="X87" s="68" t="s">
        <v>254</v>
      </c>
      <c r="Y87" s="41">
        <v>38590702.080000006</v>
      </c>
      <c r="Z87" s="41">
        <v>5902107.3700000001</v>
      </c>
    </row>
    <row r="88" spans="2:28" s="8" customFormat="1" ht="40.5" customHeight="1" x14ac:dyDescent="0.25">
      <c r="B88" s="79">
        <f t="shared" si="20"/>
        <v>63</v>
      </c>
      <c r="C88" s="241"/>
      <c r="D88" s="7" t="s">
        <v>29</v>
      </c>
      <c r="E88" s="7">
        <v>106208</v>
      </c>
      <c r="F88" s="114" t="s">
        <v>93</v>
      </c>
      <c r="G88" s="120" t="s">
        <v>455</v>
      </c>
      <c r="H88" s="101">
        <v>42738</v>
      </c>
      <c r="I88" s="101">
        <v>43131</v>
      </c>
      <c r="J88" s="96">
        <v>0.85</v>
      </c>
      <c r="K88" s="96" t="s">
        <v>728</v>
      </c>
      <c r="L88" s="10" t="s">
        <v>497</v>
      </c>
      <c r="M88" s="10" t="s">
        <v>370</v>
      </c>
      <c r="N88" s="10" t="s">
        <v>370</v>
      </c>
      <c r="O88" s="155" t="s">
        <v>641</v>
      </c>
      <c r="P88" s="10" t="s">
        <v>602</v>
      </c>
      <c r="Q88" s="63">
        <f t="shared" si="0"/>
        <v>26915160.099999998</v>
      </c>
      <c r="R88" s="61">
        <v>22877886.09</v>
      </c>
      <c r="S88" s="61">
        <v>3498970.81</v>
      </c>
      <c r="T88" s="61">
        <v>538303.19999999995</v>
      </c>
      <c r="U88" s="61">
        <v>5888889.1699999999</v>
      </c>
      <c r="V88" s="61">
        <v>3067195</v>
      </c>
      <c r="W88" s="61">
        <f t="shared" si="19"/>
        <v>35871244.269999996</v>
      </c>
      <c r="X88" s="68" t="s">
        <v>254</v>
      </c>
      <c r="Y88" s="41">
        <v>15377388.789999999</v>
      </c>
      <c r="Z88" s="41">
        <v>2351835.94</v>
      </c>
    </row>
    <row r="89" spans="2:28" s="8" customFormat="1" ht="80.25" customHeight="1" x14ac:dyDescent="0.25">
      <c r="B89" s="79">
        <f t="shared" si="20"/>
        <v>64</v>
      </c>
      <c r="C89" s="241"/>
      <c r="D89" s="7" t="s">
        <v>30</v>
      </c>
      <c r="E89" s="7">
        <v>102541</v>
      </c>
      <c r="F89" s="114" t="s">
        <v>31</v>
      </c>
      <c r="G89" s="125" t="s">
        <v>340</v>
      </c>
      <c r="H89" s="114" t="s">
        <v>375</v>
      </c>
      <c r="I89" s="114" t="s">
        <v>376</v>
      </c>
      <c r="J89" s="96">
        <v>0.85</v>
      </c>
      <c r="K89" s="96" t="s">
        <v>728</v>
      </c>
      <c r="L89" s="114" t="s">
        <v>497</v>
      </c>
      <c r="M89" s="114" t="s">
        <v>531</v>
      </c>
      <c r="N89" s="114"/>
      <c r="O89" s="155" t="s">
        <v>641</v>
      </c>
      <c r="P89" s="10" t="s">
        <v>602</v>
      </c>
      <c r="Q89" s="60">
        <f t="shared" si="0"/>
        <v>9909808</v>
      </c>
      <c r="R89" s="60">
        <v>8423337</v>
      </c>
      <c r="S89" s="60">
        <v>1387373</v>
      </c>
      <c r="T89" s="60">
        <v>99098</v>
      </c>
      <c r="U89" s="60">
        <v>1981962</v>
      </c>
      <c r="V89" s="61">
        <v>0</v>
      </c>
      <c r="W89" s="61">
        <f t="shared" si="19"/>
        <v>11891770</v>
      </c>
      <c r="X89" s="68" t="s">
        <v>254</v>
      </c>
      <c r="Y89" s="41">
        <v>2604821.1</v>
      </c>
      <c r="Z89" s="41">
        <v>429029.36</v>
      </c>
    </row>
    <row r="90" spans="2:28" s="8" customFormat="1" ht="40.5" customHeight="1" x14ac:dyDescent="0.25">
      <c r="B90" s="79">
        <f t="shared" si="20"/>
        <v>65</v>
      </c>
      <c r="C90" s="241"/>
      <c r="D90" s="7" t="s">
        <v>32</v>
      </c>
      <c r="E90" s="7">
        <v>105336</v>
      </c>
      <c r="F90" s="114" t="s">
        <v>33</v>
      </c>
      <c r="G90" s="120" t="s">
        <v>330</v>
      </c>
      <c r="H90" s="101">
        <v>42772</v>
      </c>
      <c r="I90" s="10" t="s">
        <v>329</v>
      </c>
      <c r="J90" s="96">
        <v>0.85</v>
      </c>
      <c r="K90" s="96" t="s">
        <v>728</v>
      </c>
      <c r="L90" s="10" t="s">
        <v>495</v>
      </c>
      <c r="M90" s="10" t="s">
        <v>288</v>
      </c>
      <c r="N90" s="10" t="s">
        <v>532</v>
      </c>
      <c r="O90" s="155" t="s">
        <v>641</v>
      </c>
      <c r="P90" s="10" t="s">
        <v>602</v>
      </c>
      <c r="Q90" s="68">
        <f t="shared" si="0"/>
        <v>29660616</v>
      </c>
      <c r="R90" s="61">
        <v>25211524</v>
      </c>
      <c r="S90" s="60">
        <v>3855880</v>
      </c>
      <c r="T90" s="60">
        <v>593212</v>
      </c>
      <c r="U90" s="60">
        <v>12649738</v>
      </c>
      <c r="V90" s="61">
        <v>0</v>
      </c>
      <c r="W90" s="61">
        <f t="shared" si="19"/>
        <v>42310354</v>
      </c>
      <c r="X90" s="68" t="s">
        <v>254</v>
      </c>
      <c r="Y90" s="41">
        <v>4727691.16</v>
      </c>
      <c r="Z90" s="41">
        <v>723058.65</v>
      </c>
    </row>
    <row r="91" spans="2:28" s="8" customFormat="1" ht="51.75" customHeight="1" x14ac:dyDescent="0.25">
      <c r="B91" s="79">
        <f t="shared" si="20"/>
        <v>66</v>
      </c>
      <c r="C91" s="241"/>
      <c r="D91" s="7" t="s">
        <v>34</v>
      </c>
      <c r="E91" s="7">
        <v>106221</v>
      </c>
      <c r="F91" s="114" t="s">
        <v>35</v>
      </c>
      <c r="G91" s="120" t="s">
        <v>351</v>
      </c>
      <c r="H91" s="101">
        <v>42772</v>
      </c>
      <c r="I91" s="10" t="s">
        <v>350</v>
      </c>
      <c r="J91" s="96">
        <v>0.85</v>
      </c>
      <c r="K91" s="96" t="s">
        <v>728</v>
      </c>
      <c r="L91" s="10" t="s">
        <v>498</v>
      </c>
      <c r="M91" s="10" t="s">
        <v>533</v>
      </c>
      <c r="N91" s="10" t="s">
        <v>534</v>
      </c>
      <c r="O91" s="155" t="s">
        <v>641</v>
      </c>
      <c r="P91" s="10" t="s">
        <v>602</v>
      </c>
      <c r="Q91" s="68">
        <f t="shared" si="0"/>
        <v>30879822</v>
      </c>
      <c r="R91" s="61">
        <v>26247849</v>
      </c>
      <c r="S91" s="60">
        <v>4014377</v>
      </c>
      <c r="T91" s="60">
        <v>617596</v>
      </c>
      <c r="U91" s="60">
        <v>6721744</v>
      </c>
      <c r="V91" s="61">
        <v>2978892</v>
      </c>
      <c r="W91" s="61">
        <f t="shared" si="19"/>
        <v>40580458</v>
      </c>
      <c r="X91" s="68" t="s">
        <v>254</v>
      </c>
      <c r="Y91" s="41">
        <v>6271622.7800000003</v>
      </c>
      <c r="Z91" s="41">
        <v>959189.39</v>
      </c>
    </row>
    <row r="92" spans="2:28" s="8" customFormat="1" ht="66" customHeight="1" x14ac:dyDescent="0.25">
      <c r="B92" s="79">
        <f t="shared" si="20"/>
        <v>67</v>
      </c>
      <c r="C92" s="241"/>
      <c r="D92" s="7" t="s">
        <v>36</v>
      </c>
      <c r="E92" s="7">
        <v>101066</v>
      </c>
      <c r="F92" s="114" t="s">
        <v>37</v>
      </c>
      <c r="G92" s="125" t="s">
        <v>331</v>
      </c>
      <c r="H92" s="102">
        <v>42774</v>
      </c>
      <c r="I92" s="102">
        <v>43404</v>
      </c>
      <c r="J92" s="96">
        <v>0.85</v>
      </c>
      <c r="K92" s="96" t="s">
        <v>728</v>
      </c>
      <c r="L92" s="114" t="s">
        <v>486</v>
      </c>
      <c r="M92" s="114" t="s">
        <v>535</v>
      </c>
      <c r="N92" s="114"/>
      <c r="O92" s="155" t="s">
        <v>641</v>
      </c>
      <c r="P92" s="10" t="s">
        <v>602</v>
      </c>
      <c r="Q92" s="60">
        <f t="shared" si="0"/>
        <v>10503439.000000002</v>
      </c>
      <c r="R92" s="60">
        <v>8927923.1500000004</v>
      </c>
      <c r="S92" s="60">
        <v>1470481.4600000002</v>
      </c>
      <c r="T92" s="60">
        <v>105034.39</v>
      </c>
      <c r="U92" s="60">
        <v>2100688</v>
      </c>
      <c r="V92" s="60">
        <v>0</v>
      </c>
      <c r="W92" s="61">
        <f t="shared" si="19"/>
        <v>12604127.000000002</v>
      </c>
      <c r="X92" s="68" t="s">
        <v>254</v>
      </c>
      <c r="Y92" s="41">
        <v>0</v>
      </c>
      <c r="Z92" s="41">
        <v>0</v>
      </c>
    </row>
    <row r="93" spans="2:28" s="8" customFormat="1" ht="133.5" customHeight="1" x14ac:dyDescent="0.25">
      <c r="B93" s="79">
        <f t="shared" si="20"/>
        <v>68</v>
      </c>
      <c r="C93" s="241"/>
      <c r="D93" s="7" t="s">
        <v>38</v>
      </c>
      <c r="E93" s="7">
        <v>106974</v>
      </c>
      <c r="F93" s="114" t="s">
        <v>216</v>
      </c>
      <c r="G93" s="120" t="s">
        <v>348</v>
      </c>
      <c r="H93" s="101">
        <v>42949</v>
      </c>
      <c r="I93" s="101" t="s">
        <v>349</v>
      </c>
      <c r="J93" s="96">
        <v>0.85</v>
      </c>
      <c r="K93" s="96" t="s">
        <v>728</v>
      </c>
      <c r="L93" s="10" t="s">
        <v>484</v>
      </c>
      <c r="M93" s="10" t="s">
        <v>536</v>
      </c>
      <c r="N93" s="10" t="s">
        <v>536</v>
      </c>
      <c r="O93" s="155" t="s">
        <v>641</v>
      </c>
      <c r="P93" s="10" t="s">
        <v>602</v>
      </c>
      <c r="Q93" s="68">
        <f t="shared" si="0"/>
        <v>133567269</v>
      </c>
      <c r="R93" s="61">
        <v>113532179</v>
      </c>
      <c r="S93" s="60">
        <v>17363745</v>
      </c>
      <c r="T93" s="60">
        <v>2671345</v>
      </c>
      <c r="U93" s="60">
        <v>29197472</v>
      </c>
      <c r="V93" s="61">
        <v>14873797</v>
      </c>
      <c r="W93" s="61">
        <f t="shared" si="19"/>
        <v>177638538</v>
      </c>
      <c r="X93" s="68" t="s">
        <v>254</v>
      </c>
      <c r="Y93" s="41">
        <v>0</v>
      </c>
      <c r="Z93" s="76">
        <v>0</v>
      </c>
    </row>
    <row r="94" spans="2:28" s="8" customFormat="1" ht="77.25" customHeight="1" x14ac:dyDescent="0.25">
      <c r="B94" s="79">
        <f t="shared" si="20"/>
        <v>69</v>
      </c>
      <c r="C94" s="241"/>
      <c r="D94" s="7" t="s">
        <v>39</v>
      </c>
      <c r="E94" s="7">
        <v>108040</v>
      </c>
      <c r="F94" s="114" t="s">
        <v>40</v>
      </c>
      <c r="G94" s="125" t="s">
        <v>450</v>
      </c>
      <c r="H94" s="102">
        <v>42795</v>
      </c>
      <c r="I94" s="102">
        <v>43190</v>
      </c>
      <c r="J94" s="96">
        <v>0.85</v>
      </c>
      <c r="K94" s="96" t="s">
        <v>728</v>
      </c>
      <c r="L94" s="114" t="s">
        <v>498</v>
      </c>
      <c r="M94" s="114" t="s">
        <v>505</v>
      </c>
      <c r="N94" s="114"/>
      <c r="O94" s="155" t="s">
        <v>641</v>
      </c>
      <c r="P94" s="10" t="s">
        <v>602</v>
      </c>
      <c r="Q94" s="60">
        <f t="shared" si="0"/>
        <v>11926122</v>
      </c>
      <c r="R94" s="60">
        <v>10137204</v>
      </c>
      <c r="S94" s="60">
        <v>1669657</v>
      </c>
      <c r="T94" s="60">
        <v>119261</v>
      </c>
      <c r="U94" s="60">
        <v>2385224</v>
      </c>
      <c r="V94" s="60">
        <v>0</v>
      </c>
      <c r="W94" s="61">
        <f t="shared" si="19"/>
        <v>14311346</v>
      </c>
      <c r="X94" s="68" t="s">
        <v>439</v>
      </c>
      <c r="Y94" s="41">
        <v>1013720.37</v>
      </c>
      <c r="Z94" s="76">
        <v>166965.71</v>
      </c>
    </row>
    <row r="95" spans="2:28" s="8" customFormat="1" ht="45.75" customHeight="1" x14ac:dyDescent="0.25">
      <c r="B95" s="79">
        <f t="shared" si="20"/>
        <v>70</v>
      </c>
      <c r="C95" s="241"/>
      <c r="D95" s="7" t="s">
        <v>41</v>
      </c>
      <c r="E95" s="7">
        <v>106204</v>
      </c>
      <c r="F95" s="114" t="s">
        <v>42</v>
      </c>
      <c r="G95" s="120" t="s">
        <v>471</v>
      </c>
      <c r="H95" s="101">
        <v>42775</v>
      </c>
      <c r="I95" s="101">
        <v>43524</v>
      </c>
      <c r="J95" s="96">
        <v>0.85</v>
      </c>
      <c r="K95" s="96" t="s">
        <v>728</v>
      </c>
      <c r="L95" s="10" t="s">
        <v>498</v>
      </c>
      <c r="M95" s="10" t="s">
        <v>537</v>
      </c>
      <c r="N95" s="10" t="s">
        <v>538</v>
      </c>
      <c r="O95" s="155" t="s">
        <v>641</v>
      </c>
      <c r="P95" s="10" t="s">
        <v>602</v>
      </c>
      <c r="Q95" s="68">
        <f t="shared" ref="Q95:Q181" si="21">+R95+S95+T95</f>
        <v>92126031</v>
      </c>
      <c r="R95" s="61">
        <v>78307126</v>
      </c>
      <c r="S95" s="60">
        <v>11976384</v>
      </c>
      <c r="T95" s="60">
        <v>1842521</v>
      </c>
      <c r="U95" s="60">
        <v>19984242</v>
      </c>
      <c r="V95" s="61">
        <v>8514160</v>
      </c>
      <c r="W95" s="61">
        <f t="shared" si="19"/>
        <v>120624433</v>
      </c>
      <c r="X95" s="68" t="s">
        <v>254</v>
      </c>
      <c r="Y95" s="41">
        <v>23798332.100000001</v>
      </c>
      <c r="Z95" s="41">
        <v>3639744.9000000004</v>
      </c>
      <c r="AA95" s="70"/>
    </row>
    <row r="96" spans="2:28" s="8" customFormat="1" ht="72" customHeight="1" x14ac:dyDescent="0.25">
      <c r="B96" s="79">
        <f t="shared" si="20"/>
        <v>71</v>
      </c>
      <c r="C96" s="108"/>
      <c r="D96" s="7" t="s">
        <v>43</v>
      </c>
      <c r="E96" s="7">
        <v>102415</v>
      </c>
      <c r="F96" s="114" t="s">
        <v>44</v>
      </c>
      <c r="G96" s="125" t="s">
        <v>341</v>
      </c>
      <c r="H96" s="114" t="s">
        <v>377</v>
      </c>
      <c r="I96" s="114" t="s">
        <v>255</v>
      </c>
      <c r="J96" s="96">
        <v>0.85</v>
      </c>
      <c r="K96" s="96" t="s">
        <v>728</v>
      </c>
      <c r="L96" s="114" t="s">
        <v>497</v>
      </c>
      <c r="M96" s="114" t="s">
        <v>507</v>
      </c>
      <c r="N96" s="114"/>
      <c r="O96" s="155" t="s">
        <v>641</v>
      </c>
      <c r="P96" s="10" t="s">
        <v>602</v>
      </c>
      <c r="Q96" s="60">
        <f t="shared" si="21"/>
        <v>8028912</v>
      </c>
      <c r="R96" s="60">
        <v>6824575</v>
      </c>
      <c r="S96" s="60">
        <v>1124048</v>
      </c>
      <c r="T96" s="60">
        <v>80289</v>
      </c>
      <c r="U96" s="60">
        <v>1605782</v>
      </c>
      <c r="V96" s="60">
        <v>0</v>
      </c>
      <c r="W96" s="61">
        <f t="shared" si="19"/>
        <v>9634694</v>
      </c>
      <c r="X96" s="68" t="s">
        <v>254</v>
      </c>
      <c r="Y96" s="41">
        <v>3753516.2600000002</v>
      </c>
      <c r="Z96" s="41">
        <v>618226.22</v>
      </c>
    </row>
    <row r="97" spans="2:26" s="8" customFormat="1" ht="43.5" customHeight="1" x14ac:dyDescent="0.25">
      <c r="B97" s="79">
        <f t="shared" si="20"/>
        <v>72</v>
      </c>
      <c r="C97" s="108"/>
      <c r="D97" s="7" t="s">
        <v>45</v>
      </c>
      <c r="E97" s="7">
        <v>107453</v>
      </c>
      <c r="F97" s="114" t="s">
        <v>46</v>
      </c>
      <c r="G97" s="135" t="s">
        <v>378</v>
      </c>
      <c r="H97" s="10" t="s">
        <v>379</v>
      </c>
      <c r="I97" s="10" t="s">
        <v>265</v>
      </c>
      <c r="J97" s="96">
        <v>0.85</v>
      </c>
      <c r="K97" s="96" t="s">
        <v>728</v>
      </c>
      <c r="L97" s="10" t="s">
        <v>498</v>
      </c>
      <c r="M97" s="10" t="s">
        <v>494</v>
      </c>
      <c r="N97" s="10"/>
      <c r="O97" s="155" t="s">
        <v>641</v>
      </c>
      <c r="P97" s="10" t="s">
        <v>602</v>
      </c>
      <c r="Q97" s="68">
        <f t="shared" si="21"/>
        <v>45452806</v>
      </c>
      <c r="R97" s="61">
        <v>38634885</v>
      </c>
      <c r="S97" s="60">
        <v>5908865</v>
      </c>
      <c r="T97" s="60">
        <v>909056</v>
      </c>
      <c r="U97" s="65">
        <v>9090561</v>
      </c>
      <c r="V97" s="61">
        <v>0</v>
      </c>
      <c r="W97" s="61">
        <f t="shared" si="19"/>
        <v>54543367</v>
      </c>
      <c r="X97" s="68" t="s">
        <v>254</v>
      </c>
      <c r="Y97" s="41">
        <v>21040.2</v>
      </c>
      <c r="Z97" s="76">
        <v>3217.92</v>
      </c>
    </row>
    <row r="98" spans="2:26" s="8" customFormat="1" ht="85.5" customHeight="1" x14ac:dyDescent="0.25">
      <c r="B98" s="79">
        <f t="shared" si="20"/>
        <v>73</v>
      </c>
      <c r="C98" s="108"/>
      <c r="D98" s="7" t="s">
        <v>47</v>
      </c>
      <c r="E98" s="7">
        <v>105621</v>
      </c>
      <c r="F98" s="114" t="s">
        <v>48</v>
      </c>
      <c r="G98" s="125" t="s">
        <v>441</v>
      </c>
      <c r="H98" s="102">
        <v>42705</v>
      </c>
      <c r="I98" s="102">
        <v>43190</v>
      </c>
      <c r="J98" s="96">
        <v>0.85</v>
      </c>
      <c r="K98" s="96" t="s">
        <v>728</v>
      </c>
      <c r="L98" s="114" t="s">
        <v>498</v>
      </c>
      <c r="M98" s="114" t="s">
        <v>457</v>
      </c>
      <c r="N98" s="114"/>
      <c r="O98" s="155" t="s">
        <v>641</v>
      </c>
      <c r="P98" s="10" t="s">
        <v>602</v>
      </c>
      <c r="Q98" s="60">
        <f t="shared" si="21"/>
        <v>11406183.6315</v>
      </c>
      <c r="R98" s="60">
        <v>9695256</v>
      </c>
      <c r="S98" s="60">
        <v>1596865.7894000004</v>
      </c>
      <c r="T98" s="60">
        <v>114061.84210000001</v>
      </c>
      <c r="U98" s="60">
        <v>2281237</v>
      </c>
      <c r="V98" s="60">
        <v>0</v>
      </c>
      <c r="W98" s="61">
        <f t="shared" si="19"/>
        <v>13687420.6315</v>
      </c>
      <c r="X98" s="68" t="s">
        <v>439</v>
      </c>
      <c r="Y98" s="41">
        <f>2961858.13+3135589.68</f>
        <v>6097447.8100000005</v>
      </c>
      <c r="Z98" s="41">
        <f>487835.46+516450.06</f>
        <v>1004285.52</v>
      </c>
    </row>
    <row r="99" spans="2:26" s="8" customFormat="1" ht="41.25" customHeight="1" x14ac:dyDescent="0.25">
      <c r="B99" s="79">
        <f t="shared" si="20"/>
        <v>74</v>
      </c>
      <c r="C99" s="108"/>
      <c r="D99" s="7" t="s">
        <v>50</v>
      </c>
      <c r="E99" s="7">
        <v>106373</v>
      </c>
      <c r="F99" s="114" t="s">
        <v>95</v>
      </c>
      <c r="G99" s="120" t="s">
        <v>355</v>
      </c>
      <c r="H99" s="10" t="s">
        <v>356</v>
      </c>
      <c r="I99" s="10" t="s">
        <v>357</v>
      </c>
      <c r="J99" s="96">
        <v>0.85</v>
      </c>
      <c r="K99" s="96" t="s">
        <v>728</v>
      </c>
      <c r="L99" s="10" t="s">
        <v>486</v>
      </c>
      <c r="M99" s="10" t="s">
        <v>503</v>
      </c>
      <c r="N99" s="10" t="s">
        <v>539</v>
      </c>
      <c r="O99" s="155" t="s">
        <v>641</v>
      </c>
      <c r="P99" s="10" t="s">
        <v>602</v>
      </c>
      <c r="Q99" s="68">
        <f t="shared" si="21"/>
        <v>81435890</v>
      </c>
      <c r="R99" s="61">
        <v>69220506</v>
      </c>
      <c r="S99" s="61">
        <v>10586666</v>
      </c>
      <c r="T99" s="61">
        <v>1628718</v>
      </c>
      <c r="U99" s="61">
        <v>17531811</v>
      </c>
      <c r="V99" s="61">
        <v>9371300</v>
      </c>
      <c r="W99" s="61">
        <f t="shared" si="19"/>
        <v>108339001</v>
      </c>
      <c r="X99" s="68" t="s">
        <v>254</v>
      </c>
      <c r="Y99" s="41">
        <v>15888374.66</v>
      </c>
      <c r="Z99" s="76">
        <v>2429986.6999999997</v>
      </c>
    </row>
    <row r="100" spans="2:26" s="8" customFormat="1" ht="69.75" customHeight="1" x14ac:dyDescent="0.25">
      <c r="B100" s="79">
        <f t="shared" si="20"/>
        <v>75</v>
      </c>
      <c r="C100" s="108"/>
      <c r="D100" s="7" t="s">
        <v>56</v>
      </c>
      <c r="E100" s="7">
        <v>105593</v>
      </c>
      <c r="F100" s="114" t="s">
        <v>57</v>
      </c>
      <c r="G100" s="125" t="s">
        <v>353</v>
      </c>
      <c r="H100" s="102">
        <v>42824</v>
      </c>
      <c r="I100" s="102">
        <v>43100</v>
      </c>
      <c r="J100" s="96">
        <v>0.85</v>
      </c>
      <c r="K100" s="96" t="s">
        <v>728</v>
      </c>
      <c r="L100" s="114" t="s">
        <v>490</v>
      </c>
      <c r="M100" s="114" t="s">
        <v>540</v>
      </c>
      <c r="N100" s="114"/>
      <c r="O100" s="155" t="s">
        <v>641</v>
      </c>
      <c r="P100" s="10" t="s">
        <v>602</v>
      </c>
      <c r="Q100" s="60">
        <f t="shared" si="21"/>
        <v>9927570</v>
      </c>
      <c r="R100" s="60">
        <v>8438434.5</v>
      </c>
      <c r="S100" s="60">
        <v>1389859.8</v>
      </c>
      <c r="T100" s="60">
        <v>99275.7</v>
      </c>
      <c r="U100" s="60">
        <v>1985514</v>
      </c>
      <c r="V100" s="60">
        <v>0</v>
      </c>
      <c r="W100" s="61">
        <f t="shared" si="19"/>
        <v>11913084</v>
      </c>
      <c r="X100" s="68" t="s">
        <v>254</v>
      </c>
      <c r="Y100" s="41">
        <v>1141663.8700000001</v>
      </c>
      <c r="Z100" s="76">
        <v>188038.76</v>
      </c>
    </row>
    <row r="101" spans="2:26" s="8" customFormat="1" ht="207" customHeight="1" x14ac:dyDescent="0.25">
      <c r="B101" s="79">
        <f t="shared" si="20"/>
        <v>76</v>
      </c>
      <c r="C101" s="108"/>
      <c r="D101" s="7" t="s">
        <v>60</v>
      </c>
      <c r="E101" s="7">
        <v>104855</v>
      </c>
      <c r="F101" s="114" t="s">
        <v>97</v>
      </c>
      <c r="G101" s="134" t="s">
        <v>387</v>
      </c>
      <c r="H101" s="10" t="s">
        <v>388</v>
      </c>
      <c r="I101" s="10" t="s">
        <v>268</v>
      </c>
      <c r="J101" s="96">
        <v>0.85</v>
      </c>
      <c r="K101" s="96" t="s">
        <v>728</v>
      </c>
      <c r="L101" s="10" t="s">
        <v>491</v>
      </c>
      <c r="M101" s="10" t="s">
        <v>541</v>
      </c>
      <c r="N101" s="10" t="s">
        <v>541</v>
      </c>
      <c r="O101" s="155" t="s">
        <v>641</v>
      </c>
      <c r="P101" s="10" t="s">
        <v>602</v>
      </c>
      <c r="Q101" s="68">
        <f t="shared" si="21"/>
        <v>41951514.170000002</v>
      </c>
      <c r="R101" s="61">
        <v>35658787.049999997</v>
      </c>
      <c r="S101" s="61">
        <v>5453696.8399999999</v>
      </c>
      <c r="T101" s="61">
        <v>839030.28</v>
      </c>
      <c r="U101" s="61">
        <v>8690881.6699999999</v>
      </c>
      <c r="V101" s="61">
        <v>4378154.53</v>
      </c>
      <c r="W101" s="61">
        <f t="shared" si="19"/>
        <v>55020550.370000005</v>
      </c>
      <c r="X101" s="68" t="s">
        <v>254</v>
      </c>
      <c r="Y101" s="41">
        <v>0</v>
      </c>
      <c r="Z101" s="76">
        <v>0</v>
      </c>
    </row>
    <row r="102" spans="2:26" s="8" customFormat="1" ht="165.75" x14ac:dyDescent="0.25">
      <c r="B102" s="79">
        <f t="shared" si="20"/>
        <v>77</v>
      </c>
      <c r="C102" s="108"/>
      <c r="D102" s="7" t="s">
        <v>58</v>
      </c>
      <c r="E102" s="7">
        <v>102578</v>
      </c>
      <c r="F102" s="114" t="s">
        <v>59</v>
      </c>
      <c r="G102" s="134" t="s">
        <v>263</v>
      </c>
      <c r="H102" s="114" t="s">
        <v>389</v>
      </c>
      <c r="I102" s="114" t="s">
        <v>262</v>
      </c>
      <c r="J102" s="96">
        <v>0.85</v>
      </c>
      <c r="K102" s="96" t="s">
        <v>728</v>
      </c>
      <c r="L102" s="114" t="s">
        <v>484</v>
      </c>
      <c r="M102" s="114" t="s">
        <v>499</v>
      </c>
      <c r="N102" s="114"/>
      <c r="O102" s="155" t="s">
        <v>641</v>
      </c>
      <c r="P102" s="10" t="s">
        <v>602</v>
      </c>
      <c r="Q102" s="60">
        <f t="shared" si="21"/>
        <v>5114757.8909</v>
      </c>
      <c r="R102" s="60">
        <v>4347544.2235000003</v>
      </c>
      <c r="S102" s="60">
        <v>716066.10739999998</v>
      </c>
      <c r="T102" s="60">
        <v>51147.56</v>
      </c>
      <c r="U102" s="60">
        <v>1022951.58</v>
      </c>
      <c r="V102" s="60">
        <v>0</v>
      </c>
      <c r="W102" s="61">
        <f t="shared" si="19"/>
        <v>6137709.4709000001</v>
      </c>
      <c r="X102" s="68" t="s">
        <v>254</v>
      </c>
      <c r="Y102" s="41">
        <v>0</v>
      </c>
      <c r="Z102" s="76">
        <v>0</v>
      </c>
    </row>
    <row r="103" spans="2:26" s="8" customFormat="1" ht="409.5" x14ac:dyDescent="0.25">
      <c r="B103" s="79">
        <f t="shared" si="20"/>
        <v>78</v>
      </c>
      <c r="C103" s="108"/>
      <c r="D103" s="7" t="s">
        <v>61</v>
      </c>
      <c r="E103" s="7">
        <v>106678</v>
      </c>
      <c r="F103" s="114" t="s">
        <v>98</v>
      </c>
      <c r="G103" s="134" t="s">
        <v>266</v>
      </c>
      <c r="H103" s="114" t="s">
        <v>390</v>
      </c>
      <c r="I103" s="114" t="s">
        <v>265</v>
      </c>
      <c r="J103" s="96">
        <v>0.85</v>
      </c>
      <c r="K103" s="96" t="s">
        <v>728</v>
      </c>
      <c r="L103" s="114" t="s">
        <v>486</v>
      </c>
      <c r="M103" s="114" t="s">
        <v>487</v>
      </c>
      <c r="N103" s="114"/>
      <c r="O103" s="155" t="s">
        <v>641</v>
      </c>
      <c r="P103" s="10" t="s">
        <v>602</v>
      </c>
      <c r="Q103" s="60">
        <f t="shared" si="21"/>
        <v>6109300</v>
      </c>
      <c r="R103" s="60">
        <v>5192905</v>
      </c>
      <c r="S103" s="60">
        <v>855302.00000000012</v>
      </c>
      <c r="T103" s="60">
        <v>61093</v>
      </c>
      <c r="U103" s="60">
        <v>1221859.99</v>
      </c>
      <c r="V103" s="60">
        <v>0</v>
      </c>
      <c r="W103" s="61">
        <f t="shared" si="19"/>
        <v>7331159.9900000002</v>
      </c>
      <c r="X103" s="68" t="s">
        <v>254</v>
      </c>
      <c r="Y103" s="41">
        <v>2076550</v>
      </c>
      <c r="Z103" s="76">
        <v>342020</v>
      </c>
    </row>
    <row r="104" spans="2:26" s="8" customFormat="1" ht="43.5" customHeight="1" x14ac:dyDescent="0.25">
      <c r="B104" s="79">
        <f t="shared" si="20"/>
        <v>79</v>
      </c>
      <c r="C104" s="108"/>
      <c r="D104" s="7" t="s">
        <v>62</v>
      </c>
      <c r="E104" s="7">
        <v>105537</v>
      </c>
      <c r="F104" s="114" t="s">
        <v>99</v>
      </c>
      <c r="G104" s="136" t="s">
        <v>324</v>
      </c>
      <c r="H104" s="101">
        <v>42829</v>
      </c>
      <c r="I104" s="101">
        <v>43465</v>
      </c>
      <c r="J104" s="96">
        <v>0.85</v>
      </c>
      <c r="K104" s="96" t="s">
        <v>728</v>
      </c>
      <c r="L104" s="10" t="s">
        <v>542</v>
      </c>
      <c r="M104" s="10" t="s">
        <v>504</v>
      </c>
      <c r="N104" s="10" t="s">
        <v>504</v>
      </c>
      <c r="O104" s="155" t="s">
        <v>641</v>
      </c>
      <c r="P104" s="10" t="s">
        <v>602</v>
      </c>
      <c r="Q104" s="68">
        <f t="shared" si="21"/>
        <v>35786046.479999997</v>
      </c>
      <c r="R104" s="61">
        <v>30418139.5</v>
      </c>
      <c r="S104" s="61">
        <v>4652186.05</v>
      </c>
      <c r="T104" s="61">
        <v>715720.93</v>
      </c>
      <c r="U104" s="61">
        <v>7157209.29</v>
      </c>
      <c r="V104" s="61">
        <v>0</v>
      </c>
      <c r="W104" s="61">
        <f t="shared" si="19"/>
        <v>42943255.769999996</v>
      </c>
      <c r="X104" s="68" t="s">
        <v>254</v>
      </c>
      <c r="Y104" s="41">
        <v>5077718.8499999996</v>
      </c>
      <c r="Z104" s="41">
        <v>776592.3</v>
      </c>
    </row>
    <row r="105" spans="2:26" s="8" customFormat="1" ht="57" customHeight="1" x14ac:dyDescent="0.25">
      <c r="B105" s="79">
        <f t="shared" si="20"/>
        <v>80</v>
      </c>
      <c r="C105" s="108"/>
      <c r="D105" s="7" t="s">
        <v>63</v>
      </c>
      <c r="E105" s="7">
        <v>107617</v>
      </c>
      <c r="F105" s="114" t="s">
        <v>101</v>
      </c>
      <c r="G105" s="137" t="s">
        <v>354</v>
      </c>
      <c r="H105" s="101">
        <v>42836</v>
      </c>
      <c r="I105" s="101">
        <v>44196</v>
      </c>
      <c r="J105" s="96">
        <v>0.85</v>
      </c>
      <c r="K105" s="96" t="s">
        <v>728</v>
      </c>
      <c r="L105" s="10" t="s">
        <v>486</v>
      </c>
      <c r="M105" s="10" t="s">
        <v>496</v>
      </c>
      <c r="N105" s="10" t="s">
        <v>496</v>
      </c>
      <c r="O105" s="155" t="s">
        <v>641</v>
      </c>
      <c r="P105" s="10" t="s">
        <v>602</v>
      </c>
      <c r="Q105" s="68">
        <f t="shared" si="21"/>
        <v>86247043</v>
      </c>
      <c r="R105" s="61">
        <v>73309986.430000007</v>
      </c>
      <c r="S105" s="61">
        <v>11212115.57</v>
      </c>
      <c r="T105" s="61">
        <v>1724941</v>
      </c>
      <c r="U105" s="61">
        <v>19096406.969999999</v>
      </c>
      <c r="V105" s="61">
        <v>9668262.8300000001</v>
      </c>
      <c r="W105" s="61">
        <f t="shared" si="19"/>
        <v>115011712.8</v>
      </c>
      <c r="X105" s="68" t="s">
        <v>254</v>
      </c>
      <c r="Y105" s="41">
        <v>0</v>
      </c>
      <c r="Z105" s="76">
        <v>0</v>
      </c>
    </row>
    <row r="106" spans="2:26" s="8" customFormat="1" ht="67.5" customHeight="1" x14ac:dyDescent="0.25">
      <c r="B106" s="79">
        <f t="shared" si="20"/>
        <v>81</v>
      </c>
      <c r="C106" s="108"/>
      <c r="D106" s="7" t="s">
        <v>204</v>
      </c>
      <c r="E106" s="7">
        <v>106556</v>
      </c>
      <c r="F106" s="114" t="s">
        <v>102</v>
      </c>
      <c r="G106" s="134" t="s">
        <v>269</v>
      </c>
      <c r="H106" s="114" t="s">
        <v>391</v>
      </c>
      <c r="I106" s="114" t="s">
        <v>270</v>
      </c>
      <c r="J106" s="96">
        <v>0.85</v>
      </c>
      <c r="K106" s="96" t="s">
        <v>728</v>
      </c>
      <c r="L106" s="114" t="s">
        <v>497</v>
      </c>
      <c r="M106" s="114" t="s">
        <v>370</v>
      </c>
      <c r="N106" s="114"/>
      <c r="O106" s="155" t="s">
        <v>641</v>
      </c>
      <c r="P106" s="10" t="s">
        <v>602</v>
      </c>
      <c r="Q106" s="60">
        <f t="shared" si="21"/>
        <v>11034044.449999999</v>
      </c>
      <c r="R106" s="60">
        <v>9378937.7799999993</v>
      </c>
      <c r="S106" s="60">
        <v>1544766.22</v>
      </c>
      <c r="T106" s="60">
        <v>110340.45</v>
      </c>
      <c r="U106" s="60">
        <v>2206808.89</v>
      </c>
      <c r="V106" s="60">
        <v>0</v>
      </c>
      <c r="W106" s="61">
        <f t="shared" si="19"/>
        <v>13240853.34</v>
      </c>
      <c r="X106" s="68" t="s">
        <v>254</v>
      </c>
      <c r="Y106" s="41">
        <v>2164370.2599999998</v>
      </c>
      <c r="Z106" s="76">
        <v>356484.51</v>
      </c>
    </row>
    <row r="107" spans="2:26" s="8" customFormat="1" ht="57" customHeight="1" x14ac:dyDescent="0.25">
      <c r="B107" s="79">
        <f t="shared" si="20"/>
        <v>82</v>
      </c>
      <c r="C107" s="108"/>
      <c r="D107" s="7" t="s">
        <v>64</v>
      </c>
      <c r="E107" s="7">
        <v>108771</v>
      </c>
      <c r="F107" s="114" t="s">
        <v>104</v>
      </c>
      <c r="G107" s="131" t="s">
        <v>458</v>
      </c>
      <c r="H107" s="101">
        <v>42838</v>
      </c>
      <c r="I107" s="101">
        <v>43113</v>
      </c>
      <c r="J107" s="96">
        <v>0.85</v>
      </c>
      <c r="K107" s="96" t="s">
        <v>728</v>
      </c>
      <c r="L107" s="10" t="s">
        <v>490</v>
      </c>
      <c r="M107" s="10" t="s">
        <v>540</v>
      </c>
      <c r="N107" s="10"/>
      <c r="O107" s="155" t="s">
        <v>641</v>
      </c>
      <c r="P107" s="10" t="s">
        <v>602</v>
      </c>
      <c r="Q107" s="68">
        <f t="shared" si="21"/>
        <v>14458977.65</v>
      </c>
      <c r="R107" s="61">
        <v>12290131.01</v>
      </c>
      <c r="S107" s="61">
        <v>1879667.09</v>
      </c>
      <c r="T107" s="61">
        <v>289179.55</v>
      </c>
      <c r="U107" s="61">
        <v>3000077.22</v>
      </c>
      <c r="V107" s="61">
        <v>1477292.22</v>
      </c>
      <c r="W107" s="61">
        <f t="shared" si="19"/>
        <v>18936347.09</v>
      </c>
      <c r="X107" s="68" t="s">
        <v>254</v>
      </c>
      <c r="Y107" s="41">
        <v>1805202.05</v>
      </c>
      <c r="Z107" s="76">
        <v>276089.73</v>
      </c>
    </row>
    <row r="108" spans="2:26" s="8" customFormat="1" ht="65.25" customHeight="1" x14ac:dyDescent="0.25">
      <c r="B108" s="79">
        <f t="shared" si="20"/>
        <v>83</v>
      </c>
      <c r="C108" s="108"/>
      <c r="D108" s="7" t="s">
        <v>65</v>
      </c>
      <c r="E108" s="7">
        <v>107170</v>
      </c>
      <c r="F108" s="114" t="s">
        <v>103</v>
      </c>
      <c r="G108" s="138" t="s">
        <v>474</v>
      </c>
      <c r="H108" s="102">
        <v>42838</v>
      </c>
      <c r="I108" s="102">
        <v>43435</v>
      </c>
      <c r="J108" s="96">
        <v>0.85</v>
      </c>
      <c r="K108" s="96" t="s">
        <v>728</v>
      </c>
      <c r="L108" s="114" t="s">
        <v>497</v>
      </c>
      <c r="M108" s="114" t="s">
        <v>504</v>
      </c>
      <c r="N108" s="114"/>
      <c r="O108" s="155" t="s">
        <v>641</v>
      </c>
      <c r="P108" s="10" t="s">
        <v>602</v>
      </c>
      <c r="Q108" s="60">
        <f t="shared" si="21"/>
        <v>7516368.080000001</v>
      </c>
      <c r="R108" s="60">
        <v>6388912.8600000003</v>
      </c>
      <c r="S108" s="60">
        <v>1052291.53</v>
      </c>
      <c r="T108" s="60">
        <v>75163.69</v>
      </c>
      <c r="U108" s="60">
        <v>1503273.61</v>
      </c>
      <c r="V108" s="60">
        <v>0</v>
      </c>
      <c r="W108" s="61">
        <f t="shared" ref="W108:W139" si="22">+R108+S108+T108+U108+V108</f>
        <v>9019641.6900000013</v>
      </c>
      <c r="X108" s="68" t="s">
        <v>254</v>
      </c>
      <c r="Y108" s="41">
        <v>638891.29</v>
      </c>
      <c r="Z108" s="76">
        <v>105229.15</v>
      </c>
    </row>
    <row r="109" spans="2:26" s="8" customFormat="1" ht="57" customHeight="1" x14ac:dyDescent="0.25">
      <c r="B109" s="79">
        <f t="shared" si="20"/>
        <v>84</v>
      </c>
      <c r="C109" s="108"/>
      <c r="D109" s="7" t="s">
        <v>68</v>
      </c>
      <c r="E109" s="7">
        <v>106355</v>
      </c>
      <c r="F109" s="114" t="s">
        <v>105</v>
      </c>
      <c r="G109" s="138" t="s">
        <v>325</v>
      </c>
      <c r="H109" s="101">
        <v>42850</v>
      </c>
      <c r="I109" s="101">
        <v>44196</v>
      </c>
      <c r="J109" s="96">
        <v>0.85</v>
      </c>
      <c r="K109" s="96" t="s">
        <v>728</v>
      </c>
      <c r="L109" s="10" t="s">
        <v>501</v>
      </c>
      <c r="M109" s="10" t="s">
        <v>523</v>
      </c>
      <c r="N109" s="10" t="s">
        <v>523</v>
      </c>
      <c r="O109" s="155" t="s">
        <v>641</v>
      </c>
      <c r="P109" s="10" t="s">
        <v>602</v>
      </c>
      <c r="Q109" s="68">
        <f>+R109+S109+T109</f>
        <v>24374688.030000001</v>
      </c>
      <c r="R109" s="61">
        <v>20718484.829999998</v>
      </c>
      <c r="S109" s="61">
        <v>3168709.44</v>
      </c>
      <c r="T109" s="61">
        <v>487493.76</v>
      </c>
      <c r="U109" s="61">
        <v>5106784.0999999996</v>
      </c>
      <c r="V109" s="61">
        <v>2711308.23</v>
      </c>
      <c r="W109" s="61">
        <f t="shared" si="22"/>
        <v>32192780.360000003</v>
      </c>
      <c r="X109" s="68" t="s">
        <v>254</v>
      </c>
      <c r="Y109" s="41">
        <v>1058200.72</v>
      </c>
      <c r="Z109" s="76">
        <v>161842.46</v>
      </c>
    </row>
    <row r="110" spans="2:26" s="8" customFormat="1" ht="57" customHeight="1" x14ac:dyDescent="0.25">
      <c r="B110" s="79">
        <f t="shared" si="20"/>
        <v>85</v>
      </c>
      <c r="C110" s="108"/>
      <c r="D110" s="7" t="s">
        <v>69</v>
      </c>
      <c r="E110" s="7">
        <v>106283</v>
      </c>
      <c r="F110" s="114" t="s">
        <v>215</v>
      </c>
      <c r="G110" s="129" t="s">
        <v>459</v>
      </c>
      <c r="H110" s="101">
        <v>42851</v>
      </c>
      <c r="I110" s="101">
        <v>43251</v>
      </c>
      <c r="J110" s="96">
        <v>0.85</v>
      </c>
      <c r="K110" s="96" t="s">
        <v>728</v>
      </c>
      <c r="L110" s="10" t="s">
        <v>495</v>
      </c>
      <c r="M110" s="10" t="s">
        <v>500</v>
      </c>
      <c r="N110" s="10" t="s">
        <v>543</v>
      </c>
      <c r="O110" s="155" t="s">
        <v>641</v>
      </c>
      <c r="P110" s="10" t="s">
        <v>602</v>
      </c>
      <c r="Q110" s="68">
        <f t="shared" si="21"/>
        <v>7372001</v>
      </c>
      <c r="R110" s="61">
        <v>6266201</v>
      </c>
      <c r="S110" s="61">
        <v>958360</v>
      </c>
      <c r="T110" s="61">
        <v>147440</v>
      </c>
      <c r="U110" s="61">
        <v>1400682</v>
      </c>
      <c r="V110" s="61">
        <v>0</v>
      </c>
      <c r="W110" s="61">
        <f t="shared" si="22"/>
        <v>8772683</v>
      </c>
      <c r="X110" s="68" t="s">
        <v>254</v>
      </c>
      <c r="Y110" s="41">
        <v>261450.57</v>
      </c>
      <c r="Z110" s="76">
        <v>39986.559999999998</v>
      </c>
    </row>
    <row r="111" spans="2:26" s="8" customFormat="1" ht="76.5" customHeight="1" x14ac:dyDescent="0.25">
      <c r="B111" s="79">
        <f t="shared" si="20"/>
        <v>86</v>
      </c>
      <c r="C111" s="108"/>
      <c r="D111" s="7" t="s">
        <v>205</v>
      </c>
      <c r="E111" s="7">
        <v>106573</v>
      </c>
      <c r="F111" s="114" t="s">
        <v>110</v>
      </c>
      <c r="G111" s="120" t="s">
        <v>473</v>
      </c>
      <c r="H111" s="101">
        <v>42860</v>
      </c>
      <c r="I111" s="101">
        <v>43191</v>
      </c>
      <c r="J111" s="96">
        <v>0.85</v>
      </c>
      <c r="K111" s="96" t="s">
        <v>728</v>
      </c>
      <c r="L111" s="10" t="s">
        <v>497</v>
      </c>
      <c r="M111" s="10" t="s">
        <v>370</v>
      </c>
      <c r="N111" s="10"/>
      <c r="O111" s="155" t="s">
        <v>641</v>
      </c>
      <c r="P111" s="10" t="s">
        <v>602</v>
      </c>
      <c r="Q111" s="68">
        <f t="shared" si="21"/>
        <v>12900771.5</v>
      </c>
      <c r="R111" s="61">
        <v>10965655.789999999</v>
      </c>
      <c r="S111" s="61">
        <v>1677100.33</v>
      </c>
      <c r="T111" s="61">
        <v>258015.38</v>
      </c>
      <c r="U111" s="61">
        <v>2739044.2</v>
      </c>
      <c r="V111" s="61">
        <v>1681314.5</v>
      </c>
      <c r="W111" s="61">
        <f t="shared" si="22"/>
        <v>17321130.199999999</v>
      </c>
      <c r="X111" s="68" t="s">
        <v>254</v>
      </c>
      <c r="Y111" s="41">
        <v>386206.33</v>
      </c>
      <c r="Z111" s="41">
        <v>59066.85</v>
      </c>
    </row>
    <row r="112" spans="2:26" s="8" customFormat="1" ht="89.25" customHeight="1" x14ac:dyDescent="0.25">
      <c r="B112" s="79">
        <f t="shared" si="20"/>
        <v>87</v>
      </c>
      <c r="C112" s="108"/>
      <c r="D112" s="7" t="s">
        <v>627</v>
      </c>
      <c r="E112" s="7">
        <v>101584</v>
      </c>
      <c r="F112" s="114" t="s">
        <v>113</v>
      </c>
      <c r="G112" s="120" t="s">
        <v>313</v>
      </c>
      <c r="H112" s="101">
        <v>42864</v>
      </c>
      <c r="I112" s="101">
        <v>43304</v>
      </c>
      <c r="J112" s="96">
        <v>0.85</v>
      </c>
      <c r="K112" s="96" t="s">
        <v>728</v>
      </c>
      <c r="L112" s="114" t="s">
        <v>495</v>
      </c>
      <c r="M112" s="114" t="s">
        <v>485</v>
      </c>
      <c r="N112" s="114"/>
      <c r="O112" s="155" t="s">
        <v>641</v>
      </c>
      <c r="P112" s="10" t="s">
        <v>602</v>
      </c>
      <c r="Q112" s="60">
        <f t="shared" si="21"/>
        <v>9498615.6699999999</v>
      </c>
      <c r="R112" s="60">
        <v>8073823.3200000003</v>
      </c>
      <c r="S112" s="60">
        <v>1329806.2</v>
      </c>
      <c r="T112" s="60">
        <v>94986.15</v>
      </c>
      <c r="U112" s="60">
        <v>1899723.13</v>
      </c>
      <c r="V112" s="60">
        <v>0</v>
      </c>
      <c r="W112" s="61">
        <f t="shared" si="22"/>
        <v>11398338.800000001</v>
      </c>
      <c r="X112" s="68" t="s">
        <v>254</v>
      </c>
      <c r="Y112" s="41">
        <v>3072191.82</v>
      </c>
      <c r="Z112" s="76">
        <v>506008.06</v>
      </c>
    </row>
    <row r="113" spans="2:27" s="8" customFormat="1" ht="66" customHeight="1" x14ac:dyDescent="0.25">
      <c r="B113" s="79">
        <f t="shared" si="20"/>
        <v>88</v>
      </c>
      <c r="C113" s="108"/>
      <c r="D113" s="7" t="s">
        <v>206</v>
      </c>
      <c r="E113" s="7">
        <v>103186</v>
      </c>
      <c r="F113" s="114" t="s">
        <v>120</v>
      </c>
      <c r="G113" s="120" t="s">
        <v>360</v>
      </c>
      <c r="H113" s="10" t="s">
        <v>361</v>
      </c>
      <c r="I113" s="10" t="s">
        <v>362</v>
      </c>
      <c r="J113" s="96">
        <v>0.85</v>
      </c>
      <c r="K113" s="96" t="s">
        <v>728</v>
      </c>
      <c r="L113" s="10" t="s">
        <v>486</v>
      </c>
      <c r="M113" s="10" t="s">
        <v>544</v>
      </c>
      <c r="N113" s="10" t="s">
        <v>545</v>
      </c>
      <c r="O113" s="155" t="s">
        <v>641</v>
      </c>
      <c r="P113" s="10" t="s">
        <v>602</v>
      </c>
      <c r="Q113" s="68">
        <f t="shared" si="21"/>
        <v>17242439.870000001</v>
      </c>
      <c r="R113" s="61">
        <v>14656073.890000001</v>
      </c>
      <c r="S113" s="61">
        <v>2241517.1800000002</v>
      </c>
      <c r="T113" s="61">
        <v>344848.8</v>
      </c>
      <c r="U113" s="61">
        <v>3593357</v>
      </c>
      <c r="V113" s="61">
        <v>1669965</v>
      </c>
      <c r="W113" s="61">
        <f t="shared" si="22"/>
        <v>22505761.870000001</v>
      </c>
      <c r="X113" s="68" t="s">
        <v>254</v>
      </c>
      <c r="Y113" s="41">
        <v>1915960.71</v>
      </c>
      <c r="Z113" s="76">
        <v>293029.28000000003</v>
      </c>
    </row>
    <row r="114" spans="2:27" s="8" customFormat="1" ht="99" customHeight="1" x14ac:dyDescent="0.25">
      <c r="B114" s="79">
        <f t="shared" si="20"/>
        <v>89</v>
      </c>
      <c r="C114" s="108"/>
      <c r="D114" s="7" t="s">
        <v>628</v>
      </c>
      <c r="E114" s="7">
        <v>108100</v>
      </c>
      <c r="F114" s="114" t="s">
        <v>122</v>
      </c>
      <c r="G114" s="120" t="s">
        <v>463</v>
      </c>
      <c r="H114" s="101">
        <v>42874</v>
      </c>
      <c r="I114" s="101">
        <v>45291</v>
      </c>
      <c r="J114" s="96">
        <v>0.85</v>
      </c>
      <c r="K114" s="96" t="s">
        <v>728</v>
      </c>
      <c r="L114" s="10" t="s">
        <v>486</v>
      </c>
      <c r="M114" s="10" t="s">
        <v>499</v>
      </c>
      <c r="N114" s="10"/>
      <c r="O114" s="155" t="s">
        <v>641</v>
      </c>
      <c r="P114" s="10" t="s">
        <v>602</v>
      </c>
      <c r="Q114" s="68">
        <f t="shared" si="21"/>
        <v>323748755.74000001</v>
      </c>
      <c r="R114" s="61">
        <v>275186442.38</v>
      </c>
      <c r="S114" s="61">
        <v>42087338.240000002</v>
      </c>
      <c r="T114" s="61">
        <v>6474975.1200000001</v>
      </c>
      <c r="U114" s="61">
        <v>60580894</v>
      </c>
      <c r="V114" s="61">
        <v>0</v>
      </c>
      <c r="W114" s="61">
        <f t="shared" si="22"/>
        <v>384329649.74000001</v>
      </c>
      <c r="X114" s="68" t="s">
        <v>254</v>
      </c>
      <c r="Y114" s="41">
        <v>0</v>
      </c>
      <c r="Z114" s="76">
        <v>0</v>
      </c>
    </row>
    <row r="115" spans="2:27" s="8" customFormat="1" ht="64.5" customHeight="1" x14ac:dyDescent="0.25">
      <c r="B115" s="79">
        <f t="shared" si="20"/>
        <v>90</v>
      </c>
      <c r="C115" s="108"/>
      <c r="D115" s="7" t="s">
        <v>629</v>
      </c>
      <c r="E115" s="7">
        <v>107537</v>
      </c>
      <c r="F115" s="114" t="s">
        <v>123</v>
      </c>
      <c r="G115" s="125" t="s">
        <v>332</v>
      </c>
      <c r="H115" s="102">
        <v>42878</v>
      </c>
      <c r="I115" s="102">
        <v>43493</v>
      </c>
      <c r="J115" s="96">
        <v>0.85</v>
      </c>
      <c r="K115" s="96" t="s">
        <v>728</v>
      </c>
      <c r="L115" s="114" t="s">
        <v>495</v>
      </c>
      <c r="M115" s="114" t="s">
        <v>537</v>
      </c>
      <c r="N115" s="114"/>
      <c r="O115" s="155" t="s">
        <v>641</v>
      </c>
      <c r="P115" s="10" t="s">
        <v>602</v>
      </c>
      <c r="Q115" s="60">
        <f t="shared" si="21"/>
        <v>8444509</v>
      </c>
      <c r="R115" s="60">
        <v>7177832.6500000004</v>
      </c>
      <c r="S115" s="60">
        <v>1182231.26</v>
      </c>
      <c r="T115" s="60">
        <v>84445.09</v>
      </c>
      <c r="U115" s="60">
        <v>1604456.71</v>
      </c>
      <c r="V115" s="60">
        <v>0</v>
      </c>
      <c r="W115" s="61">
        <f t="shared" si="22"/>
        <v>10048965.710000001</v>
      </c>
      <c r="X115" s="68" t="s">
        <v>254</v>
      </c>
      <c r="Y115" s="41">
        <v>1445819.53</v>
      </c>
      <c r="Z115" s="76">
        <v>238134.97999999998</v>
      </c>
    </row>
    <row r="116" spans="2:27" s="8" customFormat="1" ht="89.25" x14ac:dyDescent="0.25">
      <c r="B116" s="79">
        <f t="shared" si="20"/>
        <v>91</v>
      </c>
      <c r="C116" s="108"/>
      <c r="D116" s="7" t="s">
        <v>630</v>
      </c>
      <c r="E116" s="7">
        <v>109456</v>
      </c>
      <c r="F116" s="114" t="s">
        <v>126</v>
      </c>
      <c r="G116" s="134" t="s">
        <v>264</v>
      </c>
      <c r="H116" s="114" t="s">
        <v>392</v>
      </c>
      <c r="I116" s="114" t="s">
        <v>255</v>
      </c>
      <c r="J116" s="96">
        <v>0.85</v>
      </c>
      <c r="K116" s="96" t="s">
        <v>728</v>
      </c>
      <c r="L116" s="114" t="s">
        <v>501</v>
      </c>
      <c r="M116" s="114" t="s">
        <v>541</v>
      </c>
      <c r="N116" s="114"/>
      <c r="O116" s="155" t="s">
        <v>641</v>
      </c>
      <c r="P116" s="10" t="s">
        <v>602</v>
      </c>
      <c r="Q116" s="60">
        <f t="shared" si="21"/>
        <v>5964164.5999999996</v>
      </c>
      <c r="R116" s="60">
        <v>5069540</v>
      </c>
      <c r="S116" s="60">
        <v>834982.96</v>
      </c>
      <c r="T116" s="60">
        <v>59641.64</v>
      </c>
      <c r="U116" s="60">
        <v>1133191.28</v>
      </c>
      <c r="V116" s="60">
        <v>0</v>
      </c>
      <c r="W116" s="61">
        <f t="shared" si="22"/>
        <v>7097355.8799999999</v>
      </c>
      <c r="X116" s="68" t="s">
        <v>254</v>
      </c>
      <c r="Y116" s="41">
        <v>1095654.3</v>
      </c>
      <c r="Z116" s="76">
        <v>180460.71000000002</v>
      </c>
    </row>
    <row r="117" spans="2:27" s="8" customFormat="1" ht="60" customHeight="1" x14ac:dyDescent="0.25">
      <c r="B117" s="79">
        <f t="shared" si="20"/>
        <v>92</v>
      </c>
      <c r="C117" s="108"/>
      <c r="D117" s="7" t="s">
        <v>631</v>
      </c>
      <c r="E117" s="28">
        <v>108339</v>
      </c>
      <c r="F117" s="114" t="s">
        <v>127</v>
      </c>
      <c r="G117" s="134" t="s">
        <v>479</v>
      </c>
      <c r="H117" s="102">
        <v>42881</v>
      </c>
      <c r="I117" s="114" t="s">
        <v>255</v>
      </c>
      <c r="J117" s="96">
        <v>0.85</v>
      </c>
      <c r="K117" s="96" t="s">
        <v>728</v>
      </c>
      <c r="L117" s="114" t="s">
        <v>501</v>
      </c>
      <c r="M117" s="114" t="s">
        <v>502</v>
      </c>
      <c r="N117" s="114"/>
      <c r="O117" s="155" t="s">
        <v>641</v>
      </c>
      <c r="P117" s="10" t="s">
        <v>602</v>
      </c>
      <c r="Q117" s="60">
        <f t="shared" si="21"/>
        <v>9254170</v>
      </c>
      <c r="R117" s="60">
        <v>7866044.5</v>
      </c>
      <c r="S117" s="60">
        <v>1295583.78</v>
      </c>
      <c r="T117" s="60">
        <v>92541.72</v>
      </c>
      <c r="U117" s="60">
        <v>0</v>
      </c>
      <c r="V117" s="60">
        <v>0</v>
      </c>
      <c r="W117" s="61">
        <f t="shared" si="22"/>
        <v>9254170</v>
      </c>
      <c r="X117" s="68" t="s">
        <v>254</v>
      </c>
      <c r="Y117" s="41">
        <v>3933022.25</v>
      </c>
      <c r="Z117" s="76">
        <v>647791.9</v>
      </c>
    </row>
    <row r="118" spans="2:27" s="8" customFormat="1" ht="68.25" customHeight="1" x14ac:dyDescent="0.25">
      <c r="B118" s="79">
        <f t="shared" si="20"/>
        <v>93</v>
      </c>
      <c r="C118" s="108"/>
      <c r="D118" s="7" t="s">
        <v>632</v>
      </c>
      <c r="E118" s="7">
        <v>107600</v>
      </c>
      <c r="F118" s="114" t="s">
        <v>128</v>
      </c>
      <c r="G118" s="131" t="s">
        <v>464</v>
      </c>
      <c r="H118" s="102">
        <v>42881</v>
      </c>
      <c r="I118" s="102">
        <v>43465</v>
      </c>
      <c r="J118" s="96">
        <v>0.85</v>
      </c>
      <c r="K118" s="96" t="s">
        <v>728</v>
      </c>
      <c r="L118" s="114" t="s">
        <v>495</v>
      </c>
      <c r="M118" s="114" t="s">
        <v>288</v>
      </c>
      <c r="N118" s="114"/>
      <c r="O118" s="155" t="s">
        <v>641</v>
      </c>
      <c r="P118" s="10" t="s">
        <v>602</v>
      </c>
      <c r="Q118" s="60">
        <f t="shared" si="21"/>
        <v>10403603.360000001</v>
      </c>
      <c r="R118" s="60">
        <v>8843062.8800000008</v>
      </c>
      <c r="S118" s="60">
        <v>1456504.48</v>
      </c>
      <c r="T118" s="60">
        <v>104036</v>
      </c>
      <c r="U118" s="60">
        <v>0</v>
      </c>
      <c r="V118" s="60">
        <v>0</v>
      </c>
      <c r="W118" s="61">
        <f t="shared" si="22"/>
        <v>10403603.360000001</v>
      </c>
      <c r="X118" s="68" t="s">
        <v>254</v>
      </c>
      <c r="Y118" s="41">
        <v>1037231.25</v>
      </c>
      <c r="Z118" s="41">
        <v>170838.09</v>
      </c>
    </row>
    <row r="119" spans="2:27" s="8" customFormat="1" ht="67.5" customHeight="1" x14ac:dyDescent="0.25">
      <c r="B119" s="79">
        <f t="shared" si="20"/>
        <v>94</v>
      </c>
      <c r="C119" s="108"/>
      <c r="D119" s="7" t="s">
        <v>633</v>
      </c>
      <c r="E119" s="7">
        <v>106938</v>
      </c>
      <c r="F119" s="114" t="s">
        <v>214</v>
      </c>
      <c r="G119" s="131" t="s">
        <v>342</v>
      </c>
      <c r="H119" s="114" t="s">
        <v>380</v>
      </c>
      <c r="I119" s="114" t="s">
        <v>256</v>
      </c>
      <c r="J119" s="96">
        <v>0.85</v>
      </c>
      <c r="K119" s="96" t="s">
        <v>728</v>
      </c>
      <c r="L119" s="114" t="s">
        <v>486</v>
      </c>
      <c r="M119" s="114" t="s">
        <v>496</v>
      </c>
      <c r="N119" s="114"/>
      <c r="O119" s="155" t="s">
        <v>641</v>
      </c>
      <c r="P119" s="10" t="s">
        <v>602</v>
      </c>
      <c r="Q119" s="60">
        <f t="shared" si="21"/>
        <v>20305083.999999996</v>
      </c>
      <c r="R119" s="60">
        <v>17259321.399999999</v>
      </c>
      <c r="S119" s="60">
        <v>2842711.76</v>
      </c>
      <c r="T119" s="60">
        <v>203050.84</v>
      </c>
      <c r="U119" s="60">
        <v>4061016.8</v>
      </c>
      <c r="V119" s="60">
        <v>0</v>
      </c>
      <c r="W119" s="61">
        <f t="shared" si="22"/>
        <v>24366100.799999997</v>
      </c>
      <c r="X119" s="68" t="s">
        <v>254</v>
      </c>
      <c r="Y119" s="41">
        <v>0</v>
      </c>
      <c r="Z119" s="76">
        <v>0</v>
      </c>
    </row>
    <row r="120" spans="2:27" s="8" customFormat="1" ht="58.5" customHeight="1" x14ac:dyDescent="0.25">
      <c r="B120" s="79">
        <f t="shared" si="20"/>
        <v>95</v>
      </c>
      <c r="C120" s="108"/>
      <c r="D120" s="7" t="s">
        <v>634</v>
      </c>
      <c r="E120" s="15" t="s">
        <v>210</v>
      </c>
      <c r="F120" s="114" t="s">
        <v>131</v>
      </c>
      <c r="G120" s="139" t="s">
        <v>315</v>
      </c>
      <c r="H120" s="101">
        <v>42884</v>
      </c>
      <c r="I120" s="101">
        <v>43190</v>
      </c>
      <c r="J120" s="96">
        <v>0.85</v>
      </c>
      <c r="K120" s="96" t="s">
        <v>728</v>
      </c>
      <c r="L120" s="10" t="s">
        <v>486</v>
      </c>
      <c r="M120" s="10" t="s">
        <v>546</v>
      </c>
      <c r="N120" s="10"/>
      <c r="O120" s="155" t="s">
        <v>641</v>
      </c>
      <c r="P120" s="10" t="s">
        <v>602</v>
      </c>
      <c r="Q120" s="68">
        <f t="shared" si="21"/>
        <v>13855565.970000001</v>
      </c>
      <c r="R120" s="61">
        <v>11777231.07</v>
      </c>
      <c r="S120" s="61">
        <v>1801223.58</v>
      </c>
      <c r="T120" s="61">
        <v>277111.32</v>
      </c>
      <c r="U120" s="61">
        <v>4387422.2699999996</v>
      </c>
      <c r="V120" s="61">
        <v>1536086.96</v>
      </c>
      <c r="W120" s="61">
        <f t="shared" si="22"/>
        <v>19779075.200000003</v>
      </c>
      <c r="X120" s="68" t="s">
        <v>254</v>
      </c>
      <c r="Y120" s="41">
        <v>5829527.9400000004</v>
      </c>
      <c r="Z120" s="41">
        <v>891574.8600000001</v>
      </c>
    </row>
    <row r="121" spans="2:27" s="8" customFormat="1" ht="76.5" x14ac:dyDescent="0.25">
      <c r="B121" s="79">
        <f t="shared" si="20"/>
        <v>96</v>
      </c>
      <c r="C121" s="108"/>
      <c r="D121" s="7" t="s">
        <v>635</v>
      </c>
      <c r="E121" s="7">
        <v>114394</v>
      </c>
      <c r="F121" s="114" t="s">
        <v>213</v>
      </c>
      <c r="G121" s="140" t="s">
        <v>314</v>
      </c>
      <c r="H121" s="102">
        <v>42886</v>
      </c>
      <c r="I121" s="102">
        <v>43708</v>
      </c>
      <c r="J121" s="96">
        <v>0.85</v>
      </c>
      <c r="K121" s="96" t="s">
        <v>728</v>
      </c>
      <c r="L121" s="114" t="s">
        <v>498</v>
      </c>
      <c r="M121" s="114" t="s">
        <v>533</v>
      </c>
      <c r="N121" s="114"/>
      <c r="O121" s="155" t="s">
        <v>641</v>
      </c>
      <c r="P121" s="10" t="s">
        <v>602</v>
      </c>
      <c r="Q121" s="60">
        <f t="shared" si="21"/>
        <v>23207844.240000002</v>
      </c>
      <c r="R121" s="60">
        <v>19726667.600000001</v>
      </c>
      <c r="S121" s="60">
        <v>3249098.2</v>
      </c>
      <c r="T121" s="60">
        <v>232078.44</v>
      </c>
      <c r="U121" s="60">
        <v>4409490.41</v>
      </c>
      <c r="V121" s="60">
        <v>0</v>
      </c>
      <c r="W121" s="61">
        <f t="shared" si="22"/>
        <v>27617334.650000002</v>
      </c>
      <c r="X121" s="68" t="s">
        <v>254</v>
      </c>
      <c r="Y121" s="41">
        <v>0</v>
      </c>
      <c r="Z121" s="41">
        <v>0</v>
      </c>
    </row>
    <row r="122" spans="2:27" s="8" customFormat="1" ht="127.5" x14ac:dyDescent="0.25">
      <c r="B122" s="79">
        <f t="shared" si="20"/>
        <v>97</v>
      </c>
      <c r="C122" s="108"/>
      <c r="D122" s="7" t="s">
        <v>636</v>
      </c>
      <c r="E122" s="7">
        <v>110387</v>
      </c>
      <c r="F122" s="114" t="s">
        <v>135</v>
      </c>
      <c r="G122" s="140" t="s">
        <v>442</v>
      </c>
      <c r="H122" s="102">
        <v>42826</v>
      </c>
      <c r="I122" s="102">
        <v>43465</v>
      </c>
      <c r="J122" s="96">
        <v>0.85</v>
      </c>
      <c r="K122" s="96" t="s">
        <v>728</v>
      </c>
      <c r="L122" s="114" t="s">
        <v>498</v>
      </c>
      <c r="M122" s="114" t="s">
        <v>372</v>
      </c>
      <c r="N122" s="114"/>
      <c r="O122" s="155" t="s">
        <v>641</v>
      </c>
      <c r="P122" s="10" t="s">
        <v>602</v>
      </c>
      <c r="Q122" s="68">
        <f t="shared" si="21"/>
        <v>9893840</v>
      </c>
      <c r="R122" s="68">
        <v>8409764</v>
      </c>
      <c r="S122" s="68">
        <v>1385137</v>
      </c>
      <c r="T122" s="68">
        <v>98939</v>
      </c>
      <c r="U122" s="60">
        <v>1879829.6</v>
      </c>
      <c r="V122" s="60">
        <v>0</v>
      </c>
      <c r="W122" s="61">
        <f t="shared" si="22"/>
        <v>11773669.6</v>
      </c>
      <c r="X122" s="68" t="s">
        <v>439</v>
      </c>
      <c r="Y122" s="41">
        <v>840976.4</v>
      </c>
      <c r="Z122" s="76">
        <v>138513.76</v>
      </c>
    </row>
    <row r="123" spans="2:27" s="8" customFormat="1" ht="50.25" customHeight="1" x14ac:dyDescent="0.25">
      <c r="B123" s="79">
        <f t="shared" si="20"/>
        <v>98</v>
      </c>
      <c r="C123" s="108"/>
      <c r="D123" s="7" t="s">
        <v>166</v>
      </c>
      <c r="E123" s="38">
        <v>113310</v>
      </c>
      <c r="F123" s="114" t="s">
        <v>211</v>
      </c>
      <c r="G123" s="139" t="s">
        <v>466</v>
      </c>
      <c r="H123" s="101">
        <v>42948</v>
      </c>
      <c r="I123" s="101">
        <v>43830</v>
      </c>
      <c r="J123" s="96">
        <v>0.85</v>
      </c>
      <c r="K123" s="96" t="s">
        <v>728</v>
      </c>
      <c r="L123" s="10" t="s">
        <v>491</v>
      </c>
      <c r="M123" s="10" t="s">
        <v>492</v>
      </c>
      <c r="N123" s="10" t="s">
        <v>506</v>
      </c>
      <c r="O123" s="155" t="s">
        <v>641</v>
      </c>
      <c r="P123" s="10" t="s">
        <v>602</v>
      </c>
      <c r="Q123" s="68">
        <f t="shared" si="21"/>
        <v>74628415</v>
      </c>
      <c r="R123" s="61">
        <v>63434153</v>
      </c>
      <c r="S123" s="61">
        <v>9701694</v>
      </c>
      <c r="T123" s="61">
        <v>1492568</v>
      </c>
      <c r="U123" s="61">
        <v>16244050.24</v>
      </c>
      <c r="V123" s="61">
        <v>8504496.8900000006</v>
      </c>
      <c r="W123" s="61">
        <f t="shared" si="22"/>
        <v>99376962.129999995</v>
      </c>
      <c r="X123" s="68" t="s">
        <v>254</v>
      </c>
      <c r="Y123" s="41">
        <f>17960340.38+4567793.01+1628946.56+42534.09</f>
        <v>24199614.039999999</v>
      </c>
      <c r="Z123" s="76">
        <f>2746875.59+698603.64+249133.01+6505.21</f>
        <v>3701117.45</v>
      </c>
      <c r="AA123" s="178"/>
    </row>
    <row r="124" spans="2:27" s="8" customFormat="1" ht="62.25" customHeight="1" x14ac:dyDescent="0.25">
      <c r="B124" s="79">
        <f t="shared" si="20"/>
        <v>99</v>
      </c>
      <c r="C124" s="108"/>
      <c r="D124" s="7" t="s">
        <v>171</v>
      </c>
      <c r="E124" s="7">
        <v>112855</v>
      </c>
      <c r="F124" s="114" t="s">
        <v>172</v>
      </c>
      <c r="G124" s="139" t="s">
        <v>321</v>
      </c>
      <c r="H124" s="102">
        <v>42950</v>
      </c>
      <c r="I124" s="102">
        <v>43449</v>
      </c>
      <c r="J124" s="96">
        <v>0.85</v>
      </c>
      <c r="K124" s="96" t="s">
        <v>728</v>
      </c>
      <c r="L124" s="114" t="s">
        <v>498</v>
      </c>
      <c r="M124" s="114" t="s">
        <v>282</v>
      </c>
      <c r="N124" s="114"/>
      <c r="O124" s="155" t="s">
        <v>641</v>
      </c>
      <c r="P124" s="10" t="s">
        <v>602</v>
      </c>
      <c r="Q124" s="68">
        <f t="shared" si="21"/>
        <v>13952566</v>
      </c>
      <c r="R124" s="68">
        <v>11859681.1</v>
      </c>
      <c r="S124" s="68">
        <v>1953358.24</v>
      </c>
      <c r="T124" s="68">
        <v>139526.66</v>
      </c>
      <c r="U124" s="60">
        <v>2650987.54</v>
      </c>
      <c r="V124" s="60">
        <v>0</v>
      </c>
      <c r="W124" s="61">
        <f t="shared" si="22"/>
        <v>16603553.539999999</v>
      </c>
      <c r="X124" s="68" t="s">
        <v>254</v>
      </c>
      <c r="Y124" s="41">
        <v>0</v>
      </c>
      <c r="Z124" s="76">
        <v>0</v>
      </c>
    </row>
    <row r="125" spans="2:27" s="8" customFormat="1" ht="78" customHeight="1" x14ac:dyDescent="0.25">
      <c r="B125" s="79">
        <f t="shared" si="20"/>
        <v>100</v>
      </c>
      <c r="C125" s="108"/>
      <c r="D125" s="7" t="s">
        <v>176</v>
      </c>
      <c r="E125" s="7">
        <v>110570</v>
      </c>
      <c r="F125" s="114" t="s">
        <v>177</v>
      </c>
      <c r="G125" s="139" t="s">
        <v>468</v>
      </c>
      <c r="H125" s="102">
        <v>42957</v>
      </c>
      <c r="I125" s="102">
        <v>43769</v>
      </c>
      <c r="J125" s="96">
        <v>0.85</v>
      </c>
      <c r="K125" s="96" t="s">
        <v>728</v>
      </c>
      <c r="L125" s="114" t="s">
        <v>491</v>
      </c>
      <c r="M125" s="114" t="s">
        <v>547</v>
      </c>
      <c r="N125" s="114"/>
      <c r="O125" s="155" t="s">
        <v>641</v>
      </c>
      <c r="P125" s="10" t="s">
        <v>602</v>
      </c>
      <c r="Q125" s="68">
        <f t="shared" si="21"/>
        <v>8814941</v>
      </c>
      <c r="R125" s="68">
        <v>7492699.8099999996</v>
      </c>
      <c r="S125" s="68">
        <v>1234092.19</v>
      </c>
      <c r="T125" s="68">
        <v>88149</v>
      </c>
      <c r="U125" s="60">
        <v>1674838.79</v>
      </c>
      <c r="V125" s="60">
        <v>0</v>
      </c>
      <c r="W125" s="61">
        <f t="shared" si="22"/>
        <v>10489779.789999999</v>
      </c>
      <c r="X125" s="68" t="s">
        <v>254</v>
      </c>
      <c r="Y125" s="41">
        <v>1081630.7</v>
      </c>
      <c r="Z125" s="76">
        <v>178150.94</v>
      </c>
    </row>
    <row r="126" spans="2:27" s="8" customFormat="1" ht="78" customHeight="1" x14ac:dyDescent="0.25">
      <c r="B126" s="79">
        <f t="shared" si="20"/>
        <v>101</v>
      </c>
      <c r="C126" s="108"/>
      <c r="D126" s="7" t="s">
        <v>183</v>
      </c>
      <c r="E126" s="7">
        <v>106707</v>
      </c>
      <c r="F126" s="114" t="s">
        <v>184</v>
      </c>
      <c r="G126" s="141" t="s">
        <v>333</v>
      </c>
      <c r="H126" s="102">
        <v>42963</v>
      </c>
      <c r="I126" s="102">
        <v>44576</v>
      </c>
      <c r="J126" s="96">
        <v>0.85</v>
      </c>
      <c r="K126" s="96" t="s">
        <v>728</v>
      </c>
      <c r="L126" s="114" t="s">
        <v>486</v>
      </c>
      <c r="M126" s="114" t="s">
        <v>546</v>
      </c>
      <c r="N126" s="114"/>
      <c r="O126" s="155" t="s">
        <v>641</v>
      </c>
      <c r="P126" s="10" t="s">
        <v>602</v>
      </c>
      <c r="Q126" s="68">
        <f t="shared" si="21"/>
        <v>8398943</v>
      </c>
      <c r="R126" s="68">
        <v>7139101.5499999998</v>
      </c>
      <c r="S126" s="68">
        <v>1175852.02</v>
      </c>
      <c r="T126" s="68">
        <v>83989.43</v>
      </c>
      <c r="U126" s="60">
        <v>1646521.8</v>
      </c>
      <c r="V126" s="60">
        <v>0</v>
      </c>
      <c r="W126" s="61">
        <f t="shared" si="22"/>
        <v>10045464.800000001</v>
      </c>
      <c r="X126" s="68" t="s">
        <v>254</v>
      </c>
      <c r="Y126" s="41">
        <v>3183132.45</v>
      </c>
      <c r="Z126" s="76">
        <v>524280.64</v>
      </c>
    </row>
    <row r="127" spans="2:27" s="8" customFormat="1" ht="78" customHeight="1" x14ac:dyDescent="0.25">
      <c r="B127" s="79">
        <f t="shared" si="20"/>
        <v>102</v>
      </c>
      <c r="C127" s="108"/>
      <c r="D127" s="7" t="s">
        <v>185</v>
      </c>
      <c r="E127" s="7">
        <v>112718</v>
      </c>
      <c r="F127" s="114" t="s">
        <v>212</v>
      </c>
      <c r="G127" s="139" t="s">
        <v>314</v>
      </c>
      <c r="H127" s="102">
        <v>42963</v>
      </c>
      <c r="I127" s="102">
        <v>43479</v>
      </c>
      <c r="J127" s="96">
        <v>0.85</v>
      </c>
      <c r="K127" s="96" t="s">
        <v>728</v>
      </c>
      <c r="L127" s="114" t="s">
        <v>491</v>
      </c>
      <c r="M127" s="114" t="s">
        <v>547</v>
      </c>
      <c r="N127" s="114"/>
      <c r="O127" s="155" t="s">
        <v>641</v>
      </c>
      <c r="P127" s="10" t="s">
        <v>602</v>
      </c>
      <c r="Q127" s="68">
        <f t="shared" si="21"/>
        <v>2181078.0999999996</v>
      </c>
      <c r="R127" s="68">
        <v>1853916.38</v>
      </c>
      <c r="S127" s="68">
        <v>305350.94</v>
      </c>
      <c r="T127" s="68">
        <v>21810.78</v>
      </c>
      <c r="U127" s="60">
        <v>414404.84</v>
      </c>
      <c r="V127" s="60">
        <v>0</v>
      </c>
      <c r="W127" s="61">
        <f t="shared" si="22"/>
        <v>2595482.9399999995</v>
      </c>
      <c r="X127" s="68" t="s">
        <v>254</v>
      </c>
      <c r="Y127" s="41">
        <v>1041573.05</v>
      </c>
      <c r="Z127" s="41">
        <v>171553.21</v>
      </c>
    </row>
    <row r="128" spans="2:27" s="8" customFormat="1" ht="78" customHeight="1" x14ac:dyDescent="0.25">
      <c r="B128" s="79">
        <f t="shared" si="20"/>
        <v>103</v>
      </c>
      <c r="C128" s="108"/>
      <c r="D128" s="7" t="s">
        <v>195</v>
      </c>
      <c r="E128" s="7">
        <v>110847</v>
      </c>
      <c r="F128" s="114" t="s">
        <v>196</v>
      </c>
      <c r="G128" s="142" t="s">
        <v>363</v>
      </c>
      <c r="H128" s="114" t="s">
        <v>364</v>
      </c>
      <c r="I128" s="114" t="s">
        <v>365</v>
      </c>
      <c r="J128" s="96">
        <v>0.85</v>
      </c>
      <c r="K128" s="96" t="s">
        <v>728</v>
      </c>
      <c r="L128" s="114" t="s">
        <v>486</v>
      </c>
      <c r="M128" s="114" t="s">
        <v>487</v>
      </c>
      <c r="N128" s="114"/>
      <c r="O128" s="155" t="s">
        <v>641</v>
      </c>
      <c r="P128" s="10" t="s">
        <v>602</v>
      </c>
      <c r="Q128" s="68">
        <f t="shared" ref="Q128:Q141" si="23">+R128+S128+T128</f>
        <v>464117393.29000002</v>
      </c>
      <c r="R128" s="68">
        <v>394499784.04000002</v>
      </c>
      <c r="S128" s="68">
        <v>60335261.390000001</v>
      </c>
      <c r="T128" s="68">
        <v>9282347.8599999994</v>
      </c>
      <c r="U128" s="60">
        <v>96777324.530000001</v>
      </c>
      <c r="V128" s="60">
        <v>54739390.710000001</v>
      </c>
      <c r="W128" s="61">
        <f t="shared" si="22"/>
        <v>615634108.53000009</v>
      </c>
      <c r="X128" s="68" t="s">
        <v>254</v>
      </c>
      <c r="Y128" s="41">
        <v>0</v>
      </c>
      <c r="Z128" s="76">
        <v>0</v>
      </c>
    </row>
    <row r="129" spans="2:28" s="8" customFormat="1" ht="91.5" customHeight="1" x14ac:dyDescent="0.25">
      <c r="B129" s="79">
        <f t="shared" si="20"/>
        <v>104</v>
      </c>
      <c r="C129" s="108"/>
      <c r="D129" s="7" t="s">
        <v>221</v>
      </c>
      <c r="E129" s="7">
        <v>110838</v>
      </c>
      <c r="F129" s="114" t="s">
        <v>222</v>
      </c>
      <c r="G129" s="142" t="s">
        <v>367</v>
      </c>
      <c r="H129" s="102">
        <v>42956</v>
      </c>
      <c r="I129" s="114" t="s">
        <v>366</v>
      </c>
      <c r="J129" s="96">
        <v>0.85</v>
      </c>
      <c r="K129" s="96" t="s">
        <v>728</v>
      </c>
      <c r="L129" s="114" t="s">
        <v>497</v>
      </c>
      <c r="M129" s="114" t="s">
        <v>518</v>
      </c>
      <c r="N129" s="114"/>
      <c r="O129" s="155" t="s">
        <v>641</v>
      </c>
      <c r="P129" s="10" t="s">
        <v>602</v>
      </c>
      <c r="Q129" s="68">
        <f t="shared" si="23"/>
        <v>941584070</v>
      </c>
      <c r="R129" s="68">
        <v>800346459.79999995</v>
      </c>
      <c r="S129" s="68">
        <v>122405929.2</v>
      </c>
      <c r="T129" s="68">
        <v>18831681</v>
      </c>
      <c r="U129" s="60">
        <v>176132595.21000001</v>
      </c>
      <c r="V129" s="60">
        <v>0</v>
      </c>
      <c r="W129" s="61">
        <f t="shared" si="22"/>
        <v>1117716665.21</v>
      </c>
      <c r="X129" s="68" t="s">
        <v>254</v>
      </c>
      <c r="Y129" s="41">
        <v>476858.5</v>
      </c>
      <c r="Z129" s="41">
        <v>72931.3</v>
      </c>
    </row>
    <row r="130" spans="2:28" s="8" customFormat="1" ht="78" customHeight="1" x14ac:dyDescent="0.25">
      <c r="B130" s="79">
        <f t="shared" si="20"/>
        <v>105</v>
      </c>
      <c r="C130" s="108"/>
      <c r="D130" s="7" t="s">
        <v>228</v>
      </c>
      <c r="E130" s="7">
        <v>113150</v>
      </c>
      <c r="F130" s="114" t="s">
        <v>553</v>
      </c>
      <c r="G130" s="142" t="s">
        <v>443</v>
      </c>
      <c r="H130" s="102">
        <v>42125</v>
      </c>
      <c r="I130" s="102">
        <v>43281</v>
      </c>
      <c r="J130" s="96">
        <v>0.85</v>
      </c>
      <c r="K130" s="96" t="s">
        <v>728</v>
      </c>
      <c r="L130" s="114" t="s">
        <v>497</v>
      </c>
      <c r="M130" s="114" t="s">
        <v>500</v>
      </c>
      <c r="N130" s="114"/>
      <c r="O130" s="155" t="s">
        <v>641</v>
      </c>
      <c r="P130" s="10" t="s">
        <v>602</v>
      </c>
      <c r="Q130" s="68">
        <f t="shared" si="23"/>
        <v>5647473.0899999999</v>
      </c>
      <c r="R130" s="68">
        <v>4800352.13</v>
      </c>
      <c r="S130" s="68">
        <v>790646.23</v>
      </c>
      <c r="T130" s="68">
        <v>56474.73</v>
      </c>
      <c r="U130" s="60">
        <v>1073019.8899999999</v>
      </c>
      <c r="V130" s="60">
        <v>0</v>
      </c>
      <c r="W130" s="61">
        <f t="shared" si="22"/>
        <v>6720492.9799999995</v>
      </c>
      <c r="X130" s="68" t="s">
        <v>439</v>
      </c>
      <c r="Y130" s="41">
        <f>1772135.44+904617.88</f>
        <v>2676753.3199999998</v>
      </c>
      <c r="Z130" s="41">
        <f>291881.13+148995.89</f>
        <v>440877.02</v>
      </c>
    </row>
    <row r="131" spans="2:28" s="8" customFormat="1" ht="92.25" customHeight="1" x14ac:dyDescent="0.25">
      <c r="B131" s="79">
        <f t="shared" si="20"/>
        <v>106</v>
      </c>
      <c r="C131" s="108"/>
      <c r="D131" s="7" t="s">
        <v>233</v>
      </c>
      <c r="E131" s="7">
        <v>106161</v>
      </c>
      <c r="F131" s="114" t="s">
        <v>552</v>
      </c>
      <c r="G131" s="142" t="s">
        <v>478</v>
      </c>
      <c r="H131" s="102">
        <v>43004</v>
      </c>
      <c r="I131" s="114" t="s">
        <v>256</v>
      </c>
      <c r="J131" s="96">
        <v>0.85</v>
      </c>
      <c r="K131" s="96" t="s">
        <v>728</v>
      </c>
      <c r="L131" s="114" t="s">
        <v>501</v>
      </c>
      <c r="M131" s="114" t="s">
        <v>529</v>
      </c>
      <c r="N131" s="114"/>
      <c r="O131" s="155" t="s">
        <v>641</v>
      </c>
      <c r="P131" s="10" t="s">
        <v>602</v>
      </c>
      <c r="Q131" s="68">
        <f t="shared" si="23"/>
        <v>16257674.939999999</v>
      </c>
      <c r="R131" s="68">
        <v>13819023.699999999</v>
      </c>
      <c r="S131" s="68">
        <v>2276074.4900000002</v>
      </c>
      <c r="T131" s="68">
        <v>162576.75</v>
      </c>
      <c r="U131" s="60">
        <v>3088958.24</v>
      </c>
      <c r="V131" s="60">
        <v>0</v>
      </c>
      <c r="W131" s="61">
        <f t="shared" si="22"/>
        <v>19346633.18</v>
      </c>
      <c r="X131" s="68" t="s">
        <v>254</v>
      </c>
      <c r="Y131" s="41">
        <v>1068985.76</v>
      </c>
      <c r="Z131" s="76">
        <v>176068.25</v>
      </c>
    </row>
    <row r="132" spans="2:28" s="8" customFormat="1" ht="91.5" customHeight="1" x14ac:dyDescent="0.25">
      <c r="B132" s="79">
        <f t="shared" si="20"/>
        <v>107</v>
      </c>
      <c r="C132" s="108"/>
      <c r="D132" s="7" t="s">
        <v>236</v>
      </c>
      <c r="E132" s="7">
        <v>105956</v>
      </c>
      <c r="F132" s="114" t="s">
        <v>551</v>
      </c>
      <c r="G132" s="142" t="s">
        <v>336</v>
      </c>
      <c r="H132" s="114" t="s">
        <v>381</v>
      </c>
      <c r="I132" s="114" t="s">
        <v>265</v>
      </c>
      <c r="J132" s="96">
        <v>0.85</v>
      </c>
      <c r="K132" s="96" t="s">
        <v>728</v>
      </c>
      <c r="L132" s="114" t="s">
        <v>495</v>
      </c>
      <c r="M132" s="114" t="s">
        <v>511</v>
      </c>
      <c r="N132" s="114"/>
      <c r="O132" s="155" t="s">
        <v>641</v>
      </c>
      <c r="P132" s="10" t="s">
        <v>602</v>
      </c>
      <c r="Q132" s="68">
        <f t="shared" si="23"/>
        <v>308369059.35000002</v>
      </c>
      <c r="R132" s="68">
        <v>262113700.41999999</v>
      </c>
      <c r="S132" s="68">
        <v>40087977.710000001</v>
      </c>
      <c r="T132" s="68">
        <v>6167381.2199999997</v>
      </c>
      <c r="U132" s="60">
        <v>64372254.670000002</v>
      </c>
      <c r="V132" s="60">
        <v>20593026.579999998</v>
      </c>
      <c r="W132" s="61">
        <f t="shared" si="22"/>
        <v>393334340.60000002</v>
      </c>
      <c r="X132" s="68"/>
      <c r="Y132" s="41">
        <v>1853285.5</v>
      </c>
      <c r="Z132" s="76">
        <v>283443.67</v>
      </c>
    </row>
    <row r="133" spans="2:28" s="8" customFormat="1" ht="100.5" customHeight="1" x14ac:dyDescent="0.25">
      <c r="B133" s="79">
        <f t="shared" si="20"/>
        <v>108</v>
      </c>
      <c r="C133" s="108"/>
      <c r="D133" s="7" t="s">
        <v>244</v>
      </c>
      <c r="E133" s="38">
        <v>115962</v>
      </c>
      <c r="F133" s="114" t="s">
        <v>245</v>
      </c>
      <c r="G133" s="142" t="s">
        <v>334</v>
      </c>
      <c r="H133" s="102">
        <v>43034</v>
      </c>
      <c r="I133" s="102">
        <v>43511</v>
      </c>
      <c r="J133" s="96">
        <v>0.85</v>
      </c>
      <c r="K133" s="96" t="s">
        <v>728</v>
      </c>
      <c r="L133" s="114" t="s">
        <v>501</v>
      </c>
      <c r="M133" s="114" t="s">
        <v>517</v>
      </c>
      <c r="N133" s="114"/>
      <c r="O133" s="155" t="s">
        <v>641</v>
      </c>
      <c r="P133" s="10" t="s">
        <v>602</v>
      </c>
      <c r="Q133" s="68">
        <f t="shared" si="23"/>
        <v>20141968.500000004</v>
      </c>
      <c r="R133" s="68">
        <v>17120673.23</v>
      </c>
      <c r="S133" s="68">
        <v>2819875.6</v>
      </c>
      <c r="T133" s="68">
        <v>201419.67</v>
      </c>
      <c r="U133" s="60">
        <v>3826974.04</v>
      </c>
      <c r="V133" s="60">
        <v>0</v>
      </c>
      <c r="W133" s="61">
        <f t="shared" si="22"/>
        <v>23968942.540000003</v>
      </c>
      <c r="X133" s="68" t="s">
        <v>254</v>
      </c>
      <c r="Y133" s="41">
        <v>1865684.73</v>
      </c>
      <c r="Z133" s="76">
        <v>307289.25</v>
      </c>
    </row>
    <row r="134" spans="2:28" s="8" customFormat="1" ht="109.5" customHeight="1" x14ac:dyDescent="0.25">
      <c r="B134" s="79">
        <f t="shared" si="20"/>
        <v>109</v>
      </c>
      <c r="C134" s="108"/>
      <c r="D134" s="7" t="s">
        <v>246</v>
      </c>
      <c r="E134" s="38">
        <v>109955</v>
      </c>
      <c r="F134" s="114" t="s">
        <v>550</v>
      </c>
      <c r="G134" s="142" t="s">
        <v>432</v>
      </c>
      <c r="H134" s="114" t="s">
        <v>433</v>
      </c>
      <c r="I134" s="114" t="s">
        <v>434</v>
      </c>
      <c r="J134" s="96">
        <v>0.85</v>
      </c>
      <c r="K134" s="96" t="s">
        <v>728</v>
      </c>
      <c r="L134" s="114" t="s">
        <v>548</v>
      </c>
      <c r="M134" s="114" t="s">
        <v>546</v>
      </c>
      <c r="N134" s="114"/>
      <c r="O134" s="155" t="s">
        <v>641</v>
      </c>
      <c r="P134" s="10" t="s">
        <v>602</v>
      </c>
      <c r="Q134" s="68">
        <f t="shared" si="23"/>
        <v>2988916.61</v>
      </c>
      <c r="R134" s="68">
        <v>2540623.14</v>
      </c>
      <c r="S134" s="68">
        <v>418407.24</v>
      </c>
      <c r="T134" s="68">
        <v>29886.23</v>
      </c>
      <c r="U134" s="60">
        <v>567838.39</v>
      </c>
      <c r="V134" s="60">
        <v>0</v>
      </c>
      <c r="W134" s="61">
        <f t="shared" si="22"/>
        <v>3556755</v>
      </c>
      <c r="X134" s="68" t="s">
        <v>254</v>
      </c>
      <c r="Y134" s="41">
        <v>0</v>
      </c>
      <c r="Z134" s="76">
        <v>0</v>
      </c>
    </row>
    <row r="135" spans="2:28" s="8" customFormat="1" ht="90" customHeight="1" x14ac:dyDescent="0.25">
      <c r="B135" s="79">
        <f t="shared" si="20"/>
        <v>110</v>
      </c>
      <c r="C135" s="108"/>
      <c r="D135" s="7" t="s">
        <v>249</v>
      </c>
      <c r="E135" s="38">
        <v>107113</v>
      </c>
      <c r="F135" s="114" t="s">
        <v>95</v>
      </c>
      <c r="G135" s="142" t="s">
        <v>444</v>
      </c>
      <c r="H135" s="102">
        <v>42979</v>
      </c>
      <c r="I135" s="102">
        <v>44316</v>
      </c>
      <c r="J135" s="96">
        <v>0.85</v>
      </c>
      <c r="K135" s="96" t="s">
        <v>728</v>
      </c>
      <c r="L135" s="114" t="s">
        <v>486</v>
      </c>
      <c r="M135" s="114" t="s">
        <v>503</v>
      </c>
      <c r="N135" s="114"/>
      <c r="O135" s="155" t="s">
        <v>641</v>
      </c>
      <c r="P135" s="10" t="s">
        <v>602</v>
      </c>
      <c r="Q135" s="68">
        <f t="shared" si="23"/>
        <v>26673000</v>
      </c>
      <c r="R135" s="68">
        <v>22672050</v>
      </c>
      <c r="S135" s="68">
        <v>3734220</v>
      </c>
      <c r="T135" s="68">
        <v>266730</v>
      </c>
      <c r="U135" s="60">
        <v>5067870</v>
      </c>
      <c r="V135" s="60">
        <v>0</v>
      </c>
      <c r="W135" s="61">
        <f t="shared" si="22"/>
        <v>31740870</v>
      </c>
      <c r="X135" s="68" t="s">
        <v>439</v>
      </c>
      <c r="Y135" s="41">
        <v>0</v>
      </c>
      <c r="Z135" s="76">
        <v>0</v>
      </c>
    </row>
    <row r="136" spans="2:28" s="8" customFormat="1" ht="72.75" customHeight="1" x14ac:dyDescent="0.25">
      <c r="B136" s="79">
        <f t="shared" si="20"/>
        <v>111</v>
      </c>
      <c r="C136" s="108"/>
      <c r="D136" s="7" t="s">
        <v>250</v>
      </c>
      <c r="E136" s="38">
        <v>114439</v>
      </c>
      <c r="F136" s="114" t="s">
        <v>549</v>
      </c>
      <c r="G136" s="142" t="s">
        <v>359</v>
      </c>
      <c r="H136" s="102">
        <v>43039</v>
      </c>
      <c r="I136" s="102">
        <v>43830</v>
      </c>
      <c r="J136" s="96">
        <v>0.85</v>
      </c>
      <c r="K136" s="96" t="s">
        <v>728</v>
      </c>
      <c r="L136" s="114" t="s">
        <v>498</v>
      </c>
      <c r="M136" s="114" t="s">
        <v>494</v>
      </c>
      <c r="N136" s="114"/>
      <c r="O136" s="155" t="s">
        <v>641</v>
      </c>
      <c r="P136" s="10" t="s">
        <v>602</v>
      </c>
      <c r="Q136" s="68">
        <f t="shared" si="23"/>
        <v>7590175.7400000002</v>
      </c>
      <c r="R136" s="68">
        <v>6451649.3799999999</v>
      </c>
      <c r="S136" s="68">
        <v>1062624.6000000001</v>
      </c>
      <c r="T136" s="68">
        <v>75901.759999999995</v>
      </c>
      <c r="U136" s="60">
        <v>1442133.39</v>
      </c>
      <c r="V136" s="60">
        <v>0</v>
      </c>
      <c r="W136" s="61">
        <f t="shared" si="22"/>
        <v>9032309.1300000008</v>
      </c>
      <c r="X136" s="68" t="s">
        <v>254</v>
      </c>
      <c r="Y136" s="41">
        <v>2005710.4900000002</v>
      </c>
      <c r="Z136" s="41">
        <v>330352.32</v>
      </c>
    </row>
    <row r="137" spans="2:28" s="8" customFormat="1" ht="71.25" customHeight="1" x14ac:dyDescent="0.25">
      <c r="B137" s="79">
        <f t="shared" si="20"/>
        <v>112</v>
      </c>
      <c r="C137" s="108"/>
      <c r="D137" s="7" t="s">
        <v>554</v>
      </c>
      <c r="E137" s="38">
        <v>106397</v>
      </c>
      <c r="F137" s="6" t="s">
        <v>555</v>
      </c>
      <c r="G137" s="142" t="s">
        <v>359</v>
      </c>
      <c r="H137" s="102" t="s">
        <v>584</v>
      </c>
      <c r="I137" s="102">
        <v>43528</v>
      </c>
      <c r="J137" s="96">
        <v>0.85</v>
      </c>
      <c r="K137" s="96" t="s">
        <v>728</v>
      </c>
      <c r="L137" s="114" t="s">
        <v>484</v>
      </c>
      <c r="M137" s="114" t="s">
        <v>536</v>
      </c>
      <c r="N137" s="114"/>
      <c r="O137" s="155" t="s">
        <v>641</v>
      </c>
      <c r="P137" s="10" t="s">
        <v>602</v>
      </c>
      <c r="Q137" s="68">
        <f t="shared" si="23"/>
        <v>7282084.0300000003</v>
      </c>
      <c r="R137" s="68">
        <v>6189771.4299999997</v>
      </c>
      <c r="S137" s="68">
        <v>1019491.73</v>
      </c>
      <c r="T137" s="68">
        <v>72820.87</v>
      </c>
      <c r="U137" s="60">
        <v>1383595.97</v>
      </c>
      <c r="V137" s="60">
        <v>0</v>
      </c>
      <c r="W137" s="61">
        <f t="shared" si="22"/>
        <v>8665680</v>
      </c>
      <c r="X137" s="68" t="s">
        <v>254</v>
      </c>
      <c r="Y137" s="41">
        <v>0</v>
      </c>
      <c r="Z137" s="76">
        <v>0</v>
      </c>
    </row>
    <row r="138" spans="2:28" s="8" customFormat="1" ht="75.75" customHeight="1" x14ac:dyDescent="0.25">
      <c r="B138" s="79">
        <f>B137+1</f>
        <v>113</v>
      </c>
      <c r="C138" s="108"/>
      <c r="D138" s="7" t="s">
        <v>570</v>
      </c>
      <c r="E138" s="38">
        <v>112553</v>
      </c>
      <c r="F138" s="6" t="s">
        <v>571</v>
      </c>
      <c r="G138" s="142" t="s">
        <v>359</v>
      </c>
      <c r="H138" s="102" t="s">
        <v>585</v>
      </c>
      <c r="I138" s="102">
        <v>43069</v>
      </c>
      <c r="J138" s="96">
        <v>0.85</v>
      </c>
      <c r="K138" s="96" t="s">
        <v>728</v>
      </c>
      <c r="L138" s="114" t="s">
        <v>495</v>
      </c>
      <c r="M138" s="114" t="s">
        <v>292</v>
      </c>
      <c r="N138" s="114"/>
      <c r="O138" s="155" t="s">
        <v>641</v>
      </c>
      <c r="P138" s="10" t="s">
        <v>602</v>
      </c>
      <c r="Q138" s="68">
        <f t="shared" si="23"/>
        <v>7422481</v>
      </c>
      <c r="R138" s="68">
        <v>6309108.8499999996</v>
      </c>
      <c r="S138" s="68">
        <v>1039146.73</v>
      </c>
      <c r="T138" s="68">
        <v>74225.42</v>
      </c>
      <c r="U138" s="60">
        <v>1410271.39</v>
      </c>
      <c r="V138" s="60">
        <v>0</v>
      </c>
      <c r="W138" s="61">
        <f t="shared" si="22"/>
        <v>8832752.3900000006</v>
      </c>
      <c r="X138" s="68" t="s">
        <v>254</v>
      </c>
      <c r="Y138" s="41">
        <v>0</v>
      </c>
      <c r="Z138" s="76">
        <v>0</v>
      </c>
    </row>
    <row r="139" spans="2:28" s="8" customFormat="1" ht="86.25" customHeight="1" x14ac:dyDescent="0.25">
      <c r="B139" s="83">
        <f>B138+1</f>
        <v>114</v>
      </c>
      <c r="C139" s="163"/>
      <c r="D139" s="7" t="s">
        <v>645</v>
      </c>
      <c r="E139" s="38">
        <v>119028</v>
      </c>
      <c r="F139" s="6" t="s">
        <v>646</v>
      </c>
      <c r="G139" s="166" t="s">
        <v>669</v>
      </c>
      <c r="H139" s="167" t="s">
        <v>647</v>
      </c>
      <c r="I139" s="167" t="s">
        <v>670</v>
      </c>
      <c r="J139" s="96">
        <v>0.85</v>
      </c>
      <c r="K139" s="96" t="s">
        <v>728</v>
      </c>
      <c r="L139" s="157" t="s">
        <v>490</v>
      </c>
      <c r="M139" s="157" t="s">
        <v>540</v>
      </c>
      <c r="N139" s="157"/>
      <c r="O139" s="185" t="s">
        <v>641</v>
      </c>
      <c r="P139" s="10" t="s">
        <v>602</v>
      </c>
      <c r="Q139" s="68">
        <f t="shared" si="23"/>
        <v>11645925.899999999</v>
      </c>
      <c r="R139" s="64">
        <v>9899037.0199999996</v>
      </c>
      <c r="S139" s="64">
        <v>1630429.63</v>
      </c>
      <c r="T139" s="64">
        <v>116459.25</v>
      </c>
      <c r="U139" s="60">
        <v>2212725.9300000002</v>
      </c>
      <c r="V139" s="60">
        <v>0</v>
      </c>
      <c r="W139" s="61">
        <f t="shared" si="22"/>
        <v>13858651.829999998</v>
      </c>
      <c r="X139" s="68" t="s">
        <v>254</v>
      </c>
      <c r="Y139" s="41">
        <v>7070740.7300000004</v>
      </c>
      <c r="Z139" s="76">
        <v>1164592.5900000001</v>
      </c>
    </row>
    <row r="140" spans="2:28" s="8" customFormat="1" ht="86.25" customHeight="1" x14ac:dyDescent="0.25">
      <c r="B140" s="83">
        <f>B139+1</f>
        <v>115</v>
      </c>
      <c r="C140" s="182"/>
      <c r="D140" s="7" t="s">
        <v>679</v>
      </c>
      <c r="E140" s="38">
        <v>118679</v>
      </c>
      <c r="F140" s="6" t="s">
        <v>680</v>
      </c>
      <c r="G140" s="166" t="s">
        <v>705</v>
      </c>
      <c r="H140" s="167" t="s">
        <v>696</v>
      </c>
      <c r="I140" s="167">
        <v>44196</v>
      </c>
      <c r="J140" s="96">
        <v>0.85</v>
      </c>
      <c r="K140" s="96" t="s">
        <v>728</v>
      </c>
      <c r="L140" s="185" t="s">
        <v>491</v>
      </c>
      <c r="M140" s="185" t="s">
        <v>547</v>
      </c>
      <c r="N140" s="185"/>
      <c r="O140" s="185" t="s">
        <v>641</v>
      </c>
      <c r="P140" s="10" t="s">
        <v>602</v>
      </c>
      <c r="Q140" s="68">
        <f>+R140+S140+T140</f>
        <v>701079342.10000002</v>
      </c>
      <c r="R140" s="61">
        <v>595917440.77999997</v>
      </c>
      <c r="S140" s="61">
        <v>91140314.469999999</v>
      </c>
      <c r="T140" s="61">
        <v>14021586.85</v>
      </c>
      <c r="U140" s="60">
        <v>131140964.23999999</v>
      </c>
      <c r="V140" s="60">
        <v>0</v>
      </c>
      <c r="W140" s="61">
        <f t="shared" ref="W140:W141" si="24">+R140+S140+T140+U140+V140</f>
        <v>832220306.34000003</v>
      </c>
      <c r="X140" s="68" t="s">
        <v>254</v>
      </c>
      <c r="Y140" s="41">
        <v>0</v>
      </c>
      <c r="Z140" s="41">
        <v>0</v>
      </c>
    </row>
    <row r="141" spans="2:28" s="8" customFormat="1" ht="105.75" customHeight="1" x14ac:dyDescent="0.25">
      <c r="B141" s="83">
        <f>B140+1</f>
        <v>116</v>
      </c>
      <c r="C141" s="182"/>
      <c r="D141" s="7" t="s">
        <v>683</v>
      </c>
      <c r="E141" s="38">
        <v>108495</v>
      </c>
      <c r="F141" s="6" t="s">
        <v>684</v>
      </c>
      <c r="G141" s="166" t="s">
        <v>706</v>
      </c>
      <c r="H141" s="167" t="s">
        <v>695</v>
      </c>
      <c r="I141" s="167">
        <v>45291</v>
      </c>
      <c r="J141" s="96">
        <v>0.85</v>
      </c>
      <c r="K141" s="96" t="s">
        <v>728</v>
      </c>
      <c r="L141" s="185" t="s">
        <v>497</v>
      </c>
      <c r="M141" s="185" t="s">
        <v>561</v>
      </c>
      <c r="N141" s="185"/>
      <c r="O141" s="185" t="s">
        <v>641</v>
      </c>
      <c r="P141" s="10" t="s">
        <v>602</v>
      </c>
      <c r="Q141" s="68">
        <f t="shared" si="23"/>
        <v>602068190</v>
      </c>
      <c r="R141" s="61">
        <v>511757962</v>
      </c>
      <c r="S141" s="61">
        <v>78268862</v>
      </c>
      <c r="T141" s="61">
        <v>12041366</v>
      </c>
      <c r="U141" s="60">
        <v>130502654.65000001</v>
      </c>
      <c r="V141" s="60">
        <v>90123336.790000007</v>
      </c>
      <c r="W141" s="61">
        <f t="shared" si="24"/>
        <v>822694181.43999994</v>
      </c>
      <c r="X141" s="68"/>
      <c r="Y141" s="41">
        <v>0</v>
      </c>
      <c r="Z141" s="41">
        <v>0</v>
      </c>
    </row>
    <row r="142" spans="2:28" ht="25.5" customHeight="1" x14ac:dyDescent="0.25">
      <c r="B142" s="87"/>
      <c r="C142" s="31" t="s">
        <v>15</v>
      </c>
      <c r="D142" s="31"/>
      <c r="E142" s="31"/>
      <c r="F142" s="31"/>
      <c r="G142" s="143"/>
      <c r="H142" s="31"/>
      <c r="I142" s="31"/>
      <c r="J142" s="31"/>
      <c r="K142" s="31"/>
      <c r="L142" s="31"/>
      <c r="M142" s="31"/>
      <c r="N142" s="31"/>
      <c r="O142" s="31"/>
      <c r="P142" s="31"/>
      <c r="Q142" s="43">
        <f t="shared" si="21"/>
        <v>6857750645.0824013</v>
      </c>
      <c r="R142" s="43">
        <f>SUM(R76:R141)</f>
        <v>5829088093.6635017</v>
      </c>
      <c r="S142" s="43">
        <f>SUM(S76:S141)</f>
        <v>894826307.0868001</v>
      </c>
      <c r="T142" s="43">
        <f t="shared" ref="T142:W142" si="25">SUM(T76:T141)</f>
        <v>133836244.33210002</v>
      </c>
      <c r="U142" s="43">
        <f t="shared" si="25"/>
        <v>1530827178.6400006</v>
      </c>
      <c r="V142" s="43">
        <f t="shared" si="25"/>
        <v>775807906.24000013</v>
      </c>
      <c r="W142" s="43">
        <f t="shared" si="25"/>
        <v>9164385729.9623985</v>
      </c>
      <c r="X142" s="43"/>
      <c r="Y142" s="43">
        <f>SUM(Y76:Y139)</f>
        <v>550861254.09000015</v>
      </c>
      <c r="Z142" s="43">
        <f>SUM(Z76:Z139)</f>
        <v>84857536.770000011</v>
      </c>
      <c r="AA142" s="8"/>
      <c r="AB142" s="8">
        <f>+AA130-AA142</f>
        <v>0</v>
      </c>
    </row>
    <row r="143" spans="2:28" s="8" customFormat="1" ht="26.25" customHeight="1" x14ac:dyDescent="0.25">
      <c r="B143" s="80"/>
      <c r="C143" s="32" t="s">
        <v>55</v>
      </c>
      <c r="D143" s="32"/>
      <c r="E143" s="32"/>
      <c r="F143" s="32"/>
      <c r="G143" s="144"/>
      <c r="H143" s="32"/>
      <c r="I143" s="32"/>
      <c r="J143" s="32"/>
      <c r="K143" s="32"/>
      <c r="L143" s="32"/>
      <c r="M143" s="32"/>
      <c r="N143" s="32"/>
      <c r="O143" s="32"/>
      <c r="P143" s="32"/>
      <c r="Q143" s="44">
        <f t="shared" si="21"/>
        <v>7812050755.0524025</v>
      </c>
      <c r="R143" s="44">
        <f t="shared" ref="R143:W143" si="26">+R75+R142</f>
        <v>6640243186.423502</v>
      </c>
      <c r="S143" s="44">
        <f t="shared" si="26"/>
        <v>1019624326.0768001</v>
      </c>
      <c r="T143" s="44">
        <f t="shared" si="26"/>
        <v>152183242.5521</v>
      </c>
      <c r="U143" s="44">
        <f t="shared" si="26"/>
        <v>1796270418.6800005</v>
      </c>
      <c r="V143" s="44">
        <f t="shared" si="26"/>
        <v>857602187.68000007</v>
      </c>
      <c r="W143" s="44">
        <f t="shared" si="26"/>
        <v>10465923361.412399</v>
      </c>
      <c r="X143" s="44"/>
      <c r="Y143" s="44">
        <f>+Y142+Y75</f>
        <v>821013730.31000018</v>
      </c>
      <c r="Z143" s="81">
        <f>+Z142+Z75</f>
        <v>126174974.33000001</v>
      </c>
    </row>
    <row r="144" spans="2:28" s="8" customFormat="1" ht="26.25" customHeight="1" x14ac:dyDescent="0.25">
      <c r="B144" s="104"/>
      <c r="C144" s="29" t="s">
        <v>73</v>
      </c>
      <c r="D144" s="29"/>
      <c r="E144" s="29"/>
      <c r="F144" s="29"/>
      <c r="G144" s="145"/>
      <c r="H144" s="103"/>
      <c r="I144" s="103"/>
      <c r="J144" s="103"/>
      <c r="K144" s="103"/>
      <c r="L144" s="103"/>
      <c r="M144" s="103"/>
      <c r="N144" s="103"/>
      <c r="O144" s="103"/>
      <c r="P144" s="103"/>
      <c r="Q144" s="48"/>
      <c r="R144" s="48"/>
      <c r="S144" s="58"/>
      <c r="T144" s="58"/>
      <c r="U144" s="58"/>
      <c r="V144" s="58"/>
      <c r="W144" s="58"/>
      <c r="X144" s="58"/>
      <c r="Y144" s="48"/>
      <c r="Z144" s="86"/>
    </row>
    <row r="145" spans="2:26" s="8" customFormat="1" ht="60" customHeight="1" x14ac:dyDescent="0.25">
      <c r="B145" s="118">
        <v>117</v>
      </c>
      <c r="C145" s="245" t="s">
        <v>607</v>
      </c>
      <c r="D145" s="7" t="s">
        <v>76</v>
      </c>
      <c r="E145" s="7">
        <v>101985</v>
      </c>
      <c r="F145" s="114" t="s">
        <v>109</v>
      </c>
      <c r="G145" s="146" t="s">
        <v>416</v>
      </c>
      <c r="H145" s="101">
        <v>42858</v>
      </c>
      <c r="I145" s="101">
        <v>43769</v>
      </c>
      <c r="J145" s="96">
        <v>0.85</v>
      </c>
      <c r="K145" s="96" t="s">
        <v>728</v>
      </c>
      <c r="L145" s="10" t="s">
        <v>486</v>
      </c>
      <c r="M145" s="10" t="s">
        <v>487</v>
      </c>
      <c r="N145" s="10"/>
      <c r="O145" s="155" t="s">
        <v>252</v>
      </c>
      <c r="P145" s="106" t="s">
        <v>603</v>
      </c>
      <c r="Q145" s="106">
        <f t="shared" si="21"/>
        <v>4052494.76</v>
      </c>
      <c r="R145" s="68">
        <v>3444620.55</v>
      </c>
      <c r="S145" s="61">
        <v>607874.21</v>
      </c>
      <c r="T145" s="61">
        <v>0</v>
      </c>
      <c r="U145" s="61">
        <v>0</v>
      </c>
      <c r="V145" s="61">
        <v>0</v>
      </c>
      <c r="W145" s="59">
        <f t="shared" ref="W145:W177" si="27">R145+S145+T145+U145+V145</f>
        <v>4052494.76</v>
      </c>
      <c r="X145" s="61" t="s">
        <v>254</v>
      </c>
      <c r="Y145" s="41">
        <v>310909.69</v>
      </c>
      <c r="Z145" s="41">
        <v>54866.42</v>
      </c>
    </row>
    <row r="146" spans="2:26" s="8" customFormat="1" ht="112.5" customHeight="1" x14ac:dyDescent="0.25">
      <c r="B146" s="118">
        <f t="shared" ref="B146:B177" si="28">B145+1</f>
        <v>118</v>
      </c>
      <c r="C146" s="243"/>
      <c r="D146" s="7" t="s">
        <v>77</v>
      </c>
      <c r="E146" s="7">
        <v>102123</v>
      </c>
      <c r="F146" s="114" t="s">
        <v>108</v>
      </c>
      <c r="G146" s="146" t="s">
        <v>326</v>
      </c>
      <c r="H146" s="101">
        <v>42858</v>
      </c>
      <c r="I146" s="101">
        <v>43646</v>
      </c>
      <c r="J146" s="96">
        <v>0.85</v>
      </c>
      <c r="K146" s="96" t="s">
        <v>728</v>
      </c>
      <c r="L146" s="10" t="s">
        <v>498</v>
      </c>
      <c r="M146" s="10" t="s">
        <v>505</v>
      </c>
      <c r="N146" s="10"/>
      <c r="O146" s="10" t="s">
        <v>252</v>
      </c>
      <c r="P146" s="106" t="s">
        <v>603</v>
      </c>
      <c r="Q146" s="106">
        <f t="shared" si="21"/>
        <v>6067614.7300000004</v>
      </c>
      <c r="R146" s="61">
        <v>5157472.5205000006</v>
      </c>
      <c r="S146" s="61">
        <v>910142.2095</v>
      </c>
      <c r="T146" s="61">
        <v>0</v>
      </c>
      <c r="U146" s="61">
        <v>0</v>
      </c>
      <c r="V146" s="61">
        <v>0</v>
      </c>
      <c r="W146" s="59">
        <f t="shared" si="27"/>
        <v>6067614.7300000004</v>
      </c>
      <c r="X146" s="61" t="s">
        <v>254</v>
      </c>
      <c r="Y146" s="41">
        <v>350131.77</v>
      </c>
      <c r="Z146" s="41">
        <v>61787.96</v>
      </c>
    </row>
    <row r="147" spans="2:26" s="8" customFormat="1" ht="93" customHeight="1" x14ac:dyDescent="0.25">
      <c r="B147" s="118">
        <f t="shared" si="28"/>
        <v>119</v>
      </c>
      <c r="C147" s="243"/>
      <c r="D147" s="7" t="s">
        <v>207</v>
      </c>
      <c r="E147" s="7">
        <v>102491</v>
      </c>
      <c r="F147" s="114" t="s">
        <v>111</v>
      </c>
      <c r="G147" s="146" t="s">
        <v>382</v>
      </c>
      <c r="H147" s="101">
        <v>42860</v>
      </c>
      <c r="I147" s="10" t="s">
        <v>383</v>
      </c>
      <c r="J147" s="96">
        <v>0.85</v>
      </c>
      <c r="K147" s="96" t="s">
        <v>728</v>
      </c>
      <c r="L147" s="10" t="s">
        <v>498</v>
      </c>
      <c r="M147" s="10" t="s">
        <v>500</v>
      </c>
      <c r="N147" s="10"/>
      <c r="O147" s="155" t="s">
        <v>252</v>
      </c>
      <c r="P147" s="106" t="s">
        <v>603</v>
      </c>
      <c r="Q147" s="106">
        <f t="shared" si="21"/>
        <v>4789488</v>
      </c>
      <c r="R147" s="61">
        <v>4071064.8</v>
      </c>
      <c r="S147" s="61">
        <v>718423.2</v>
      </c>
      <c r="T147" s="61">
        <v>0</v>
      </c>
      <c r="U147" s="61">
        <v>0</v>
      </c>
      <c r="V147" s="61">
        <v>0</v>
      </c>
      <c r="W147" s="59">
        <f t="shared" si="27"/>
        <v>4789488</v>
      </c>
      <c r="X147" s="61" t="s">
        <v>254</v>
      </c>
      <c r="Y147" s="41">
        <v>227755.8</v>
      </c>
      <c r="Z147" s="41">
        <v>40192.199999999997</v>
      </c>
    </row>
    <row r="148" spans="2:26" s="8" customFormat="1" ht="112.5" customHeight="1" x14ac:dyDescent="0.25">
      <c r="B148" s="118">
        <f t="shared" si="28"/>
        <v>120</v>
      </c>
      <c r="C148" s="243"/>
      <c r="D148" s="7" t="s">
        <v>78</v>
      </c>
      <c r="E148" s="7">
        <v>101992</v>
      </c>
      <c r="F148" s="114" t="s">
        <v>112</v>
      </c>
      <c r="G148" s="146" t="s">
        <v>320</v>
      </c>
      <c r="H148" s="101">
        <v>42863</v>
      </c>
      <c r="I148" s="101">
        <v>43951</v>
      </c>
      <c r="J148" s="96">
        <v>0.85</v>
      </c>
      <c r="K148" s="96" t="s">
        <v>728</v>
      </c>
      <c r="L148" s="10" t="s">
        <v>495</v>
      </c>
      <c r="M148" s="10" t="s">
        <v>485</v>
      </c>
      <c r="N148" s="10"/>
      <c r="O148" s="10" t="s">
        <v>252</v>
      </c>
      <c r="P148" s="106" t="s">
        <v>603</v>
      </c>
      <c r="Q148" s="106">
        <f t="shared" si="21"/>
        <v>2301650</v>
      </c>
      <c r="R148" s="61">
        <v>1956402.5</v>
      </c>
      <c r="S148" s="61">
        <v>345247.5</v>
      </c>
      <c r="T148" s="61">
        <v>0</v>
      </c>
      <c r="U148" s="61">
        <v>0</v>
      </c>
      <c r="V148" s="61">
        <v>0</v>
      </c>
      <c r="W148" s="59">
        <f t="shared" si="27"/>
        <v>2301650</v>
      </c>
      <c r="X148" s="61" t="s">
        <v>254</v>
      </c>
      <c r="Y148" s="41">
        <v>625255.04</v>
      </c>
      <c r="Z148" s="41">
        <v>110339.11000000002</v>
      </c>
    </row>
    <row r="149" spans="2:26" s="8" customFormat="1" ht="104.25" customHeight="1" x14ac:dyDescent="0.25">
      <c r="B149" s="118">
        <f t="shared" si="28"/>
        <v>121</v>
      </c>
      <c r="C149" s="147"/>
      <c r="D149" s="7" t="s">
        <v>79</v>
      </c>
      <c r="E149" s="7">
        <v>101996</v>
      </c>
      <c r="F149" s="114" t="s">
        <v>112</v>
      </c>
      <c r="G149" s="146" t="s">
        <v>417</v>
      </c>
      <c r="H149" s="10" t="s">
        <v>418</v>
      </c>
      <c r="I149" s="10" t="s">
        <v>419</v>
      </c>
      <c r="J149" s="96">
        <v>0.85</v>
      </c>
      <c r="K149" s="96" t="s">
        <v>728</v>
      </c>
      <c r="L149" s="10" t="s">
        <v>484</v>
      </c>
      <c r="M149" s="10" t="s">
        <v>485</v>
      </c>
      <c r="N149" s="10"/>
      <c r="O149" s="10" t="s">
        <v>252</v>
      </c>
      <c r="P149" s="106" t="s">
        <v>603</v>
      </c>
      <c r="Q149" s="106">
        <f t="shared" si="21"/>
        <v>1941115</v>
      </c>
      <c r="R149" s="61">
        <v>1649947.75</v>
      </c>
      <c r="S149" s="61">
        <v>291167.25</v>
      </c>
      <c r="T149" s="61">
        <v>0</v>
      </c>
      <c r="U149" s="61">
        <v>0</v>
      </c>
      <c r="V149" s="61">
        <v>0</v>
      </c>
      <c r="W149" s="59">
        <f t="shared" si="27"/>
        <v>1941115</v>
      </c>
      <c r="X149" s="64" t="s">
        <v>254</v>
      </c>
      <c r="Y149" s="41">
        <v>458660.31000000006</v>
      </c>
      <c r="Z149" s="41">
        <v>80940.059999999983</v>
      </c>
    </row>
    <row r="150" spans="2:26" s="8" customFormat="1" ht="331.5" x14ac:dyDescent="0.25">
      <c r="B150" s="118">
        <f t="shared" si="28"/>
        <v>122</v>
      </c>
      <c r="C150" s="147"/>
      <c r="D150" s="7" t="s">
        <v>80</v>
      </c>
      <c r="E150" s="7">
        <v>102011</v>
      </c>
      <c r="F150" s="114" t="s">
        <v>114</v>
      </c>
      <c r="G150" s="146" t="s">
        <v>475</v>
      </c>
      <c r="H150" s="101">
        <v>42866</v>
      </c>
      <c r="I150" s="101">
        <v>43722</v>
      </c>
      <c r="J150" s="96">
        <v>0.85</v>
      </c>
      <c r="K150" s="96" t="s">
        <v>728</v>
      </c>
      <c r="L150" s="10" t="s">
        <v>495</v>
      </c>
      <c r="M150" s="10" t="s">
        <v>514</v>
      </c>
      <c r="N150" s="10"/>
      <c r="O150" s="10" t="s">
        <v>251</v>
      </c>
      <c r="P150" s="106" t="s">
        <v>603</v>
      </c>
      <c r="Q150" s="106">
        <f t="shared" si="21"/>
        <v>937189.85</v>
      </c>
      <c r="R150" s="61">
        <v>796611.37</v>
      </c>
      <c r="S150" s="61">
        <v>0</v>
      </c>
      <c r="T150" s="61">
        <v>140578.48000000001</v>
      </c>
      <c r="U150" s="61">
        <v>0</v>
      </c>
      <c r="V150" s="61">
        <v>0</v>
      </c>
      <c r="W150" s="59">
        <f t="shared" si="27"/>
        <v>937189.85</v>
      </c>
      <c r="X150" s="61" t="s">
        <v>254</v>
      </c>
      <c r="Y150" s="41">
        <v>133384.18</v>
      </c>
      <c r="Z150" s="41">
        <v>23538.38</v>
      </c>
    </row>
    <row r="151" spans="2:26" s="8" customFormat="1" ht="48.75" customHeight="1" x14ac:dyDescent="0.25">
      <c r="B151" s="118">
        <f t="shared" si="28"/>
        <v>123</v>
      </c>
      <c r="C151" s="147"/>
      <c r="D151" s="7" t="s">
        <v>208</v>
      </c>
      <c r="E151" s="7">
        <v>101984</v>
      </c>
      <c r="F151" s="114" t="s">
        <v>121</v>
      </c>
      <c r="G151" s="146" t="s">
        <v>317</v>
      </c>
      <c r="H151" s="101">
        <v>42874</v>
      </c>
      <c r="I151" s="101">
        <v>43646</v>
      </c>
      <c r="J151" s="96">
        <v>0.85</v>
      </c>
      <c r="K151" s="96" t="s">
        <v>728</v>
      </c>
      <c r="L151" s="10" t="s">
        <v>486</v>
      </c>
      <c r="M151" s="10" t="s">
        <v>556</v>
      </c>
      <c r="N151" s="10"/>
      <c r="O151" s="155" t="s">
        <v>252</v>
      </c>
      <c r="P151" s="106" t="s">
        <v>603</v>
      </c>
      <c r="Q151" s="106">
        <f t="shared" si="21"/>
        <v>2669735.5999999996</v>
      </c>
      <c r="R151" s="61">
        <v>2269275.2599999998</v>
      </c>
      <c r="S151" s="61">
        <v>400460.34</v>
      </c>
      <c r="T151" s="61">
        <v>0</v>
      </c>
      <c r="U151" s="61">
        <v>0</v>
      </c>
      <c r="V151" s="61">
        <v>15800</v>
      </c>
      <c r="W151" s="59">
        <f t="shared" si="27"/>
        <v>2685535.5999999996</v>
      </c>
      <c r="X151" s="64" t="s">
        <v>254</v>
      </c>
      <c r="Y151" s="41">
        <v>171448.05</v>
      </c>
      <c r="Z151" s="41">
        <v>30255.530000000002</v>
      </c>
    </row>
    <row r="152" spans="2:26" s="8" customFormat="1" ht="75.75" customHeight="1" x14ac:dyDescent="0.25">
      <c r="B152" s="118">
        <f t="shared" si="28"/>
        <v>124</v>
      </c>
      <c r="C152" s="147"/>
      <c r="D152" s="7" t="s">
        <v>115</v>
      </c>
      <c r="E152" s="7">
        <v>102023</v>
      </c>
      <c r="F152" s="114" t="s">
        <v>124</v>
      </c>
      <c r="G152" s="146" t="s">
        <v>420</v>
      </c>
      <c r="H152" s="10" t="s">
        <v>421</v>
      </c>
      <c r="I152" s="10" t="s">
        <v>274</v>
      </c>
      <c r="J152" s="96">
        <v>0.85</v>
      </c>
      <c r="K152" s="96" t="s">
        <v>728</v>
      </c>
      <c r="L152" s="10" t="s">
        <v>486</v>
      </c>
      <c r="M152" s="10" t="s">
        <v>557</v>
      </c>
      <c r="N152" s="10"/>
      <c r="O152" s="10" t="s">
        <v>253</v>
      </c>
      <c r="P152" s="106" t="s">
        <v>603</v>
      </c>
      <c r="Q152" s="106">
        <f t="shared" si="21"/>
        <v>2070420.8199999998</v>
      </c>
      <c r="R152" s="61">
        <v>1759857.7</v>
      </c>
      <c r="S152" s="61">
        <v>310563.12</v>
      </c>
      <c r="T152" s="61">
        <v>0</v>
      </c>
      <c r="U152" s="61">
        <v>0</v>
      </c>
      <c r="V152" s="61">
        <v>0</v>
      </c>
      <c r="W152" s="59">
        <f t="shared" si="27"/>
        <v>2070420.8199999998</v>
      </c>
      <c r="X152" s="61" t="s">
        <v>254</v>
      </c>
      <c r="Y152" s="41">
        <v>163143.9</v>
      </c>
      <c r="Z152" s="41">
        <v>28790.100000000002</v>
      </c>
    </row>
    <row r="153" spans="2:26" s="8" customFormat="1" ht="86.25" customHeight="1" x14ac:dyDescent="0.25">
      <c r="B153" s="118">
        <f t="shared" si="28"/>
        <v>125</v>
      </c>
      <c r="C153" s="147"/>
      <c r="D153" s="7" t="s">
        <v>116</v>
      </c>
      <c r="E153" s="7">
        <v>102329</v>
      </c>
      <c r="F153" s="114" t="s">
        <v>125</v>
      </c>
      <c r="G153" s="146" t="s">
        <v>445</v>
      </c>
      <c r="H153" s="101">
        <v>42491</v>
      </c>
      <c r="I153" s="101">
        <v>43861</v>
      </c>
      <c r="J153" s="96">
        <v>0.85</v>
      </c>
      <c r="K153" s="96" t="s">
        <v>728</v>
      </c>
      <c r="L153" s="10" t="s">
        <v>497</v>
      </c>
      <c r="M153" s="10" t="s">
        <v>518</v>
      </c>
      <c r="N153" s="10"/>
      <c r="O153" s="10" t="s">
        <v>251</v>
      </c>
      <c r="P153" s="106" t="s">
        <v>603</v>
      </c>
      <c r="Q153" s="106">
        <f t="shared" si="21"/>
        <v>3683099.3800000004</v>
      </c>
      <c r="R153" s="61">
        <v>3130634.47</v>
      </c>
      <c r="S153" s="61">
        <v>552464.91</v>
      </c>
      <c r="T153" s="61">
        <v>0</v>
      </c>
      <c r="U153" s="61">
        <v>597528.9</v>
      </c>
      <c r="V153" s="61">
        <v>0</v>
      </c>
      <c r="W153" s="59">
        <f t="shared" si="27"/>
        <v>4280628.28</v>
      </c>
      <c r="X153" s="61" t="s">
        <v>439</v>
      </c>
      <c r="Y153" s="41">
        <v>278253.65999999997</v>
      </c>
      <c r="Z153" s="41">
        <v>49103.590000000004</v>
      </c>
    </row>
    <row r="154" spans="2:26" s="8" customFormat="1" ht="66.75" customHeight="1" x14ac:dyDescent="0.25">
      <c r="B154" s="118">
        <f t="shared" si="28"/>
        <v>126</v>
      </c>
      <c r="C154" s="147"/>
      <c r="D154" s="7" t="s">
        <v>117</v>
      </c>
      <c r="E154" s="7">
        <v>101991</v>
      </c>
      <c r="F154" s="114" t="s">
        <v>465</v>
      </c>
      <c r="G154" s="146" t="s">
        <v>435</v>
      </c>
      <c r="H154" s="101">
        <v>42881</v>
      </c>
      <c r="I154" s="101">
        <v>43982</v>
      </c>
      <c r="J154" s="96">
        <v>0.85</v>
      </c>
      <c r="K154" s="96" t="s">
        <v>728</v>
      </c>
      <c r="L154" s="10" t="s">
        <v>501</v>
      </c>
      <c r="M154" s="10" t="s">
        <v>502</v>
      </c>
      <c r="N154" s="10"/>
      <c r="O154" s="10" t="s">
        <v>253</v>
      </c>
      <c r="P154" s="106" t="s">
        <v>603</v>
      </c>
      <c r="Q154" s="106">
        <f t="shared" si="21"/>
        <v>10631131</v>
      </c>
      <c r="R154" s="61">
        <v>9036461.3499999996</v>
      </c>
      <c r="S154" s="61">
        <v>1594669.65</v>
      </c>
      <c r="T154" s="61">
        <v>0</v>
      </c>
      <c r="U154" s="61">
        <v>0</v>
      </c>
      <c r="V154" s="61">
        <v>0</v>
      </c>
      <c r="W154" s="59">
        <f t="shared" si="27"/>
        <v>10631131</v>
      </c>
      <c r="X154" s="61" t="s">
        <v>254</v>
      </c>
      <c r="Y154" s="41">
        <v>690465.96</v>
      </c>
      <c r="Z154" s="41">
        <v>121846.94</v>
      </c>
    </row>
    <row r="155" spans="2:26" s="8" customFormat="1" ht="183.75" customHeight="1" x14ac:dyDescent="0.25">
      <c r="B155" s="118">
        <f t="shared" si="28"/>
        <v>127</v>
      </c>
      <c r="C155" s="147"/>
      <c r="D155" s="7" t="s">
        <v>118</v>
      </c>
      <c r="E155" s="7">
        <v>102258</v>
      </c>
      <c r="F155" s="114" t="s">
        <v>130</v>
      </c>
      <c r="G155" s="146" t="s">
        <v>319</v>
      </c>
      <c r="H155" s="101">
        <v>42884</v>
      </c>
      <c r="I155" s="101">
        <v>43982</v>
      </c>
      <c r="J155" s="96">
        <v>0.85</v>
      </c>
      <c r="K155" s="96" t="s">
        <v>728</v>
      </c>
      <c r="L155" s="10" t="s">
        <v>497</v>
      </c>
      <c r="M155" s="10" t="s">
        <v>531</v>
      </c>
      <c r="N155" s="10"/>
      <c r="O155" s="155" t="s">
        <v>252</v>
      </c>
      <c r="P155" s="106" t="s">
        <v>603</v>
      </c>
      <c r="Q155" s="106">
        <f t="shared" si="21"/>
        <v>7770072.2199999997</v>
      </c>
      <c r="R155" s="61">
        <v>6604561.3899999997</v>
      </c>
      <c r="S155" s="61">
        <v>1165510.83</v>
      </c>
      <c r="T155" s="61">
        <v>0</v>
      </c>
      <c r="U155" s="61">
        <v>0</v>
      </c>
      <c r="V155" s="61">
        <v>0</v>
      </c>
      <c r="W155" s="59">
        <f t="shared" si="27"/>
        <v>7770072.2199999997</v>
      </c>
      <c r="X155" s="61" t="s">
        <v>254</v>
      </c>
      <c r="Y155" s="41">
        <v>519361.09000000008</v>
      </c>
      <c r="Z155" s="41">
        <v>91651.97</v>
      </c>
    </row>
    <row r="156" spans="2:26" s="8" customFormat="1" ht="84" customHeight="1" x14ac:dyDescent="0.25">
      <c r="B156" s="118">
        <f t="shared" si="28"/>
        <v>128</v>
      </c>
      <c r="C156" s="147"/>
      <c r="D156" s="7" t="s">
        <v>119</v>
      </c>
      <c r="E156" s="7">
        <v>101989</v>
      </c>
      <c r="F156" s="114" t="s">
        <v>129</v>
      </c>
      <c r="G156" s="120" t="s">
        <v>436</v>
      </c>
      <c r="H156" s="101">
        <v>42884</v>
      </c>
      <c r="I156" s="101">
        <v>43465</v>
      </c>
      <c r="J156" s="96">
        <v>0.85</v>
      </c>
      <c r="K156" s="96" t="s">
        <v>728</v>
      </c>
      <c r="L156" s="10" t="s">
        <v>495</v>
      </c>
      <c r="M156" s="10" t="s">
        <v>288</v>
      </c>
      <c r="N156" s="10"/>
      <c r="O156" s="10" t="s">
        <v>253</v>
      </c>
      <c r="P156" s="106" t="s">
        <v>603</v>
      </c>
      <c r="Q156" s="106">
        <f t="shared" si="21"/>
        <v>1139761</v>
      </c>
      <c r="R156" s="61">
        <v>968796.85</v>
      </c>
      <c r="S156" s="61">
        <v>170964.15</v>
      </c>
      <c r="T156" s="61">
        <v>0</v>
      </c>
      <c r="U156" s="61">
        <v>0</v>
      </c>
      <c r="V156" s="61">
        <v>0</v>
      </c>
      <c r="W156" s="59">
        <f t="shared" si="27"/>
        <v>1139761</v>
      </c>
      <c r="X156" s="61" t="s">
        <v>254</v>
      </c>
      <c r="Y156" s="41">
        <v>75681.45</v>
      </c>
      <c r="Z156" s="41">
        <v>13355.550000000001</v>
      </c>
    </row>
    <row r="157" spans="2:26" s="8" customFormat="1" ht="195" customHeight="1" x14ac:dyDescent="0.25">
      <c r="B157" s="118">
        <f t="shared" si="28"/>
        <v>129</v>
      </c>
      <c r="C157" s="147"/>
      <c r="D157" s="7" t="s">
        <v>133</v>
      </c>
      <c r="E157" s="7">
        <v>102540</v>
      </c>
      <c r="F157" s="114" t="s">
        <v>134</v>
      </c>
      <c r="G157" s="120" t="s">
        <v>446</v>
      </c>
      <c r="H157" s="101">
        <v>42887</v>
      </c>
      <c r="I157" s="101">
        <v>43982</v>
      </c>
      <c r="J157" s="96">
        <v>0.85</v>
      </c>
      <c r="K157" s="96" t="s">
        <v>728</v>
      </c>
      <c r="L157" s="10" t="s">
        <v>498</v>
      </c>
      <c r="M157" s="10" t="s">
        <v>558</v>
      </c>
      <c r="N157" s="10"/>
      <c r="O157" s="10" t="s">
        <v>253</v>
      </c>
      <c r="P157" s="106" t="s">
        <v>603</v>
      </c>
      <c r="Q157" s="106">
        <f t="shared" si="21"/>
        <v>15363463.600000001</v>
      </c>
      <c r="R157" s="61">
        <v>13058944.060000001</v>
      </c>
      <c r="S157" s="61">
        <v>2304519.54</v>
      </c>
      <c r="T157" s="61">
        <v>0</v>
      </c>
      <c r="U157" s="61">
        <v>0</v>
      </c>
      <c r="V157" s="61">
        <v>0</v>
      </c>
      <c r="W157" s="59">
        <f t="shared" si="27"/>
        <v>15363463.600000001</v>
      </c>
      <c r="X157" s="61" t="s">
        <v>439</v>
      </c>
      <c r="Y157" s="41">
        <v>1146678.3599999999</v>
      </c>
      <c r="Z157" s="41">
        <v>202355.01</v>
      </c>
    </row>
    <row r="158" spans="2:26" s="8" customFormat="1" ht="63.75" x14ac:dyDescent="0.25">
      <c r="B158" s="118">
        <f t="shared" si="28"/>
        <v>130</v>
      </c>
      <c r="C158" s="147"/>
      <c r="D158" s="7" t="s">
        <v>136</v>
      </c>
      <c r="E158" s="7">
        <v>102760</v>
      </c>
      <c r="F158" s="114" t="s">
        <v>137</v>
      </c>
      <c r="G158" s="120" t="s">
        <v>456</v>
      </c>
      <c r="H158" s="10" t="s">
        <v>257</v>
      </c>
      <c r="I158" s="10" t="s">
        <v>258</v>
      </c>
      <c r="J158" s="96">
        <v>0.85</v>
      </c>
      <c r="K158" s="96" t="s">
        <v>728</v>
      </c>
      <c r="L158" s="10" t="s">
        <v>497</v>
      </c>
      <c r="M158" s="10" t="s">
        <v>518</v>
      </c>
      <c r="N158" s="10"/>
      <c r="O158" s="155" t="s">
        <v>251</v>
      </c>
      <c r="P158" s="106" t="s">
        <v>603</v>
      </c>
      <c r="Q158" s="106">
        <f t="shared" si="21"/>
        <v>3358573.09</v>
      </c>
      <c r="R158" s="61">
        <v>2854787.13</v>
      </c>
      <c r="S158" s="61">
        <v>503785.96</v>
      </c>
      <c r="T158" s="61">
        <v>0</v>
      </c>
      <c r="U158" s="61">
        <v>543433.34</v>
      </c>
      <c r="V158" s="61">
        <v>0</v>
      </c>
      <c r="W158" s="59">
        <f t="shared" si="27"/>
        <v>3902006.4299999997</v>
      </c>
      <c r="X158" s="61" t="s">
        <v>254</v>
      </c>
      <c r="Y158" s="41">
        <v>271531.98</v>
      </c>
      <c r="Z158" s="41">
        <v>47917.409999999996</v>
      </c>
    </row>
    <row r="159" spans="2:26" s="8" customFormat="1" ht="76.5" x14ac:dyDescent="0.25">
      <c r="B159" s="118">
        <f t="shared" si="28"/>
        <v>131</v>
      </c>
      <c r="C159" s="147"/>
      <c r="D159" s="7" t="s">
        <v>139</v>
      </c>
      <c r="E159" s="7">
        <v>102086</v>
      </c>
      <c r="F159" s="114" t="s">
        <v>140</v>
      </c>
      <c r="G159" s="120" t="s">
        <v>437</v>
      </c>
      <c r="H159" s="101">
        <v>42907</v>
      </c>
      <c r="I159" s="101">
        <v>43799</v>
      </c>
      <c r="J159" s="96">
        <v>0.85</v>
      </c>
      <c r="K159" s="96" t="s">
        <v>728</v>
      </c>
      <c r="L159" s="10" t="s">
        <v>486</v>
      </c>
      <c r="M159" s="10" t="s">
        <v>557</v>
      </c>
      <c r="N159" s="10"/>
      <c r="O159" s="155" t="s">
        <v>252</v>
      </c>
      <c r="P159" s="106" t="s">
        <v>603</v>
      </c>
      <c r="Q159" s="106">
        <f t="shared" si="21"/>
        <v>1572399.65</v>
      </c>
      <c r="R159" s="61">
        <v>1336539.7</v>
      </c>
      <c r="S159" s="61">
        <v>235859.95</v>
      </c>
      <c r="T159" s="61">
        <v>0</v>
      </c>
      <c r="U159" s="61">
        <v>507496.23</v>
      </c>
      <c r="V159" s="61">
        <v>0</v>
      </c>
      <c r="W159" s="59">
        <f t="shared" si="27"/>
        <v>2079895.88</v>
      </c>
      <c r="X159" s="61" t="s">
        <v>254</v>
      </c>
      <c r="Y159" s="41">
        <v>237074.21</v>
      </c>
      <c r="Z159" s="41">
        <v>41836.620000000003</v>
      </c>
    </row>
    <row r="160" spans="2:26" s="8" customFormat="1" ht="77.25" customHeight="1" x14ac:dyDescent="0.25">
      <c r="B160" s="118">
        <f t="shared" si="28"/>
        <v>132</v>
      </c>
      <c r="C160" s="147"/>
      <c r="D160" s="7" t="s">
        <v>141</v>
      </c>
      <c r="E160" s="7">
        <v>102055</v>
      </c>
      <c r="F160" s="7" t="s">
        <v>142</v>
      </c>
      <c r="G160" s="134" t="s">
        <v>472</v>
      </c>
      <c r="H160" s="36">
        <v>42907</v>
      </c>
      <c r="I160" s="36">
        <v>43524</v>
      </c>
      <c r="J160" s="96">
        <v>0.85</v>
      </c>
      <c r="K160" s="96" t="s">
        <v>728</v>
      </c>
      <c r="L160" s="113" t="s">
        <v>495</v>
      </c>
      <c r="M160" s="113" t="s">
        <v>514</v>
      </c>
      <c r="N160" s="113"/>
      <c r="O160" s="155" t="s">
        <v>251</v>
      </c>
      <c r="P160" s="106" t="s">
        <v>603</v>
      </c>
      <c r="Q160" s="106">
        <f t="shared" si="21"/>
        <v>767637.85000000009</v>
      </c>
      <c r="R160" s="61">
        <v>652492.17000000004</v>
      </c>
      <c r="S160" s="61">
        <v>98916.43</v>
      </c>
      <c r="T160" s="61">
        <v>16229.25</v>
      </c>
      <c r="U160" s="61">
        <v>20277.599999999999</v>
      </c>
      <c r="V160" s="61">
        <v>0</v>
      </c>
      <c r="W160" s="59">
        <f t="shared" si="27"/>
        <v>787915.45000000007</v>
      </c>
      <c r="X160" s="61" t="s">
        <v>254</v>
      </c>
      <c r="Y160" s="41">
        <v>58637.25</v>
      </c>
      <c r="Z160" s="41">
        <v>10347.75</v>
      </c>
    </row>
    <row r="161" spans="2:26" s="8" customFormat="1" ht="77.25" customHeight="1" x14ac:dyDescent="0.25">
      <c r="B161" s="118">
        <f t="shared" si="28"/>
        <v>133</v>
      </c>
      <c r="C161" s="147"/>
      <c r="D161" s="7" t="s">
        <v>143</v>
      </c>
      <c r="E161" s="7">
        <v>102844</v>
      </c>
      <c r="F161" s="7" t="s">
        <v>144</v>
      </c>
      <c r="G161" s="148" t="s">
        <v>422</v>
      </c>
      <c r="H161" s="113" t="s">
        <v>423</v>
      </c>
      <c r="I161" s="113" t="s">
        <v>424</v>
      </c>
      <c r="J161" s="96">
        <v>0.85</v>
      </c>
      <c r="K161" s="96" t="s">
        <v>728</v>
      </c>
      <c r="L161" s="113" t="s">
        <v>495</v>
      </c>
      <c r="M161" s="113" t="s">
        <v>559</v>
      </c>
      <c r="N161" s="113"/>
      <c r="O161" s="155" t="s">
        <v>251</v>
      </c>
      <c r="P161" s="106" t="s">
        <v>603</v>
      </c>
      <c r="Q161" s="106">
        <f t="shared" si="21"/>
        <v>5511402.3999999994</v>
      </c>
      <c r="R161" s="61">
        <v>4684692.04</v>
      </c>
      <c r="S161" s="61">
        <v>826032.06</v>
      </c>
      <c r="T161" s="61">
        <v>678.3</v>
      </c>
      <c r="U161" s="61">
        <v>0</v>
      </c>
      <c r="V161" s="61">
        <v>0</v>
      </c>
      <c r="W161" s="59">
        <f t="shared" si="27"/>
        <v>5511402.3999999994</v>
      </c>
      <c r="X161" s="61" t="s">
        <v>254</v>
      </c>
      <c r="Y161" s="41">
        <v>225204.52000000002</v>
      </c>
      <c r="Z161" s="41">
        <v>39741.979999999996</v>
      </c>
    </row>
    <row r="162" spans="2:26" s="8" customFormat="1" ht="83.25" customHeight="1" x14ac:dyDescent="0.25">
      <c r="B162" s="118">
        <f t="shared" si="28"/>
        <v>134</v>
      </c>
      <c r="C162" s="147"/>
      <c r="D162" s="7" t="s">
        <v>145</v>
      </c>
      <c r="E162" s="7">
        <v>102674</v>
      </c>
      <c r="F162" s="114" t="s">
        <v>146</v>
      </c>
      <c r="G162" s="120" t="s">
        <v>425</v>
      </c>
      <c r="H162" s="10" t="s">
        <v>423</v>
      </c>
      <c r="I162" s="10" t="s">
        <v>258</v>
      </c>
      <c r="J162" s="96">
        <v>0.85</v>
      </c>
      <c r="K162" s="96" t="s">
        <v>728</v>
      </c>
      <c r="L162" s="10" t="s">
        <v>486</v>
      </c>
      <c r="M162" s="10" t="s">
        <v>546</v>
      </c>
      <c r="N162" s="10"/>
      <c r="O162" s="155" t="s">
        <v>251</v>
      </c>
      <c r="P162" s="106" t="s">
        <v>603</v>
      </c>
      <c r="Q162" s="106">
        <f t="shared" si="21"/>
        <v>4609580.25</v>
      </c>
      <c r="R162" s="61">
        <v>3918143.21</v>
      </c>
      <c r="S162" s="61">
        <v>0</v>
      </c>
      <c r="T162" s="61">
        <v>691437.04</v>
      </c>
      <c r="U162" s="61">
        <v>72400</v>
      </c>
      <c r="V162" s="61">
        <v>0</v>
      </c>
      <c r="W162" s="59">
        <f t="shared" si="27"/>
        <v>4681980.25</v>
      </c>
      <c r="X162" s="61" t="s">
        <v>254</v>
      </c>
      <c r="Y162" s="41">
        <v>51164.63</v>
      </c>
      <c r="Z162" s="41">
        <v>9029.0499999999993</v>
      </c>
    </row>
    <row r="163" spans="2:26" s="8" customFormat="1" ht="88.5" customHeight="1" x14ac:dyDescent="0.25">
      <c r="B163" s="118">
        <f t="shared" si="28"/>
        <v>135</v>
      </c>
      <c r="C163" s="147"/>
      <c r="D163" s="7" t="s">
        <v>163</v>
      </c>
      <c r="E163" s="7">
        <v>102769</v>
      </c>
      <c r="F163" s="114" t="s">
        <v>164</v>
      </c>
      <c r="G163" s="120" t="s">
        <v>481</v>
      </c>
      <c r="H163" s="10" t="s">
        <v>482</v>
      </c>
      <c r="I163" s="10" t="s">
        <v>483</v>
      </c>
      <c r="J163" s="96">
        <v>0.85</v>
      </c>
      <c r="K163" s="96" t="s">
        <v>728</v>
      </c>
      <c r="L163" s="10" t="s">
        <v>486</v>
      </c>
      <c r="M163" s="10" t="s">
        <v>487</v>
      </c>
      <c r="N163" s="10"/>
      <c r="O163" s="10" t="s">
        <v>253</v>
      </c>
      <c r="P163" s="106" t="s">
        <v>603</v>
      </c>
      <c r="Q163" s="106">
        <f t="shared" si="21"/>
        <v>5638571.0700000003</v>
      </c>
      <c r="R163" s="61">
        <v>4792785.4095000001</v>
      </c>
      <c r="S163" s="61">
        <v>845785.6605</v>
      </c>
      <c r="T163" s="61">
        <v>0</v>
      </c>
      <c r="U163" s="61">
        <v>911499.29</v>
      </c>
      <c r="V163" s="61">
        <v>0</v>
      </c>
      <c r="W163" s="59">
        <f t="shared" si="27"/>
        <v>6550070.3600000003</v>
      </c>
      <c r="X163" s="61" t="s">
        <v>254</v>
      </c>
      <c r="Y163" s="41">
        <v>155090.29999999999</v>
      </c>
      <c r="Z163" s="41">
        <v>27368.879999999997</v>
      </c>
    </row>
    <row r="164" spans="2:26" s="8" customFormat="1" ht="57" customHeight="1" x14ac:dyDescent="0.25">
      <c r="B164" s="118">
        <f t="shared" si="28"/>
        <v>136</v>
      </c>
      <c r="C164" s="147"/>
      <c r="D164" s="7" t="s">
        <v>167</v>
      </c>
      <c r="E164" s="7">
        <v>101987</v>
      </c>
      <c r="F164" s="114" t="s">
        <v>168</v>
      </c>
      <c r="G164" s="120" t="s">
        <v>426</v>
      </c>
      <c r="H164" s="10" t="s">
        <v>427</v>
      </c>
      <c r="I164" s="10" t="s">
        <v>428</v>
      </c>
      <c r="J164" s="96">
        <v>0.85</v>
      </c>
      <c r="K164" s="96" t="s">
        <v>728</v>
      </c>
      <c r="L164" s="10" t="s">
        <v>498</v>
      </c>
      <c r="M164" s="10" t="s">
        <v>372</v>
      </c>
      <c r="N164" s="10"/>
      <c r="O164" s="155" t="s">
        <v>253</v>
      </c>
      <c r="P164" s="106" t="s">
        <v>603</v>
      </c>
      <c r="Q164" s="106">
        <f t="shared" si="21"/>
        <v>950455</v>
      </c>
      <c r="R164" s="61">
        <v>807886.75</v>
      </c>
      <c r="S164" s="61">
        <v>142568.25</v>
      </c>
      <c r="T164" s="61">
        <v>0</v>
      </c>
      <c r="U164" s="61">
        <v>0</v>
      </c>
      <c r="V164" s="61">
        <v>0</v>
      </c>
      <c r="W164" s="59">
        <f t="shared" si="27"/>
        <v>950455</v>
      </c>
      <c r="X164" s="61" t="s">
        <v>254</v>
      </c>
      <c r="Y164" s="41">
        <v>243907.15000000002</v>
      </c>
      <c r="Z164" s="41">
        <v>43042.439999999995</v>
      </c>
    </row>
    <row r="165" spans="2:26" s="8" customFormat="1" ht="144.75" customHeight="1" x14ac:dyDescent="0.25">
      <c r="B165" s="118">
        <f t="shared" si="28"/>
        <v>137</v>
      </c>
      <c r="C165" s="147"/>
      <c r="D165" s="7" t="s">
        <v>169</v>
      </c>
      <c r="E165" s="7">
        <v>102581</v>
      </c>
      <c r="F165" s="114" t="s">
        <v>170</v>
      </c>
      <c r="G165" s="120" t="s">
        <v>595</v>
      </c>
      <c r="H165" s="101">
        <v>42948</v>
      </c>
      <c r="I165" s="101">
        <v>43830</v>
      </c>
      <c r="J165" s="96">
        <v>0.85</v>
      </c>
      <c r="K165" s="96" t="s">
        <v>728</v>
      </c>
      <c r="L165" s="10" t="s">
        <v>497</v>
      </c>
      <c r="M165" s="10" t="s">
        <v>518</v>
      </c>
      <c r="N165" s="10"/>
      <c r="O165" s="10" t="s">
        <v>253</v>
      </c>
      <c r="P165" s="106" t="s">
        <v>603</v>
      </c>
      <c r="Q165" s="106">
        <f t="shared" si="21"/>
        <v>3038850.15</v>
      </c>
      <c r="R165" s="61">
        <v>2583022.63</v>
      </c>
      <c r="S165" s="61">
        <v>455827.52</v>
      </c>
      <c r="T165" s="61">
        <v>0</v>
      </c>
      <c r="U165" s="61">
        <v>0</v>
      </c>
      <c r="V165" s="61">
        <v>0</v>
      </c>
      <c r="W165" s="59">
        <f t="shared" si="27"/>
        <v>3038850.15</v>
      </c>
      <c r="X165" s="61" t="s">
        <v>254</v>
      </c>
      <c r="Y165" s="41">
        <v>305663.20999999996</v>
      </c>
      <c r="Z165" s="41">
        <v>53940.57</v>
      </c>
    </row>
    <row r="166" spans="2:26" s="8" customFormat="1" ht="66.75" customHeight="1" x14ac:dyDescent="0.25">
      <c r="B166" s="118">
        <f t="shared" si="28"/>
        <v>138</v>
      </c>
      <c r="C166" s="147"/>
      <c r="D166" s="7" t="s">
        <v>637</v>
      </c>
      <c r="E166" s="7">
        <v>104941</v>
      </c>
      <c r="F166" s="114" t="s">
        <v>178</v>
      </c>
      <c r="G166" s="129" t="s">
        <v>467</v>
      </c>
      <c r="H166" s="101">
        <v>42957</v>
      </c>
      <c r="I166" s="101">
        <v>43890</v>
      </c>
      <c r="J166" s="96">
        <v>0.85</v>
      </c>
      <c r="K166" s="96" t="s">
        <v>728</v>
      </c>
      <c r="L166" s="10" t="s">
        <v>486</v>
      </c>
      <c r="M166" s="10" t="s">
        <v>535</v>
      </c>
      <c r="N166" s="10"/>
      <c r="O166" s="10" t="s">
        <v>253</v>
      </c>
      <c r="P166" s="106" t="s">
        <v>603</v>
      </c>
      <c r="Q166" s="106">
        <f t="shared" si="21"/>
        <v>1438221.19</v>
      </c>
      <c r="R166" s="61">
        <v>1222488.01</v>
      </c>
      <c r="S166" s="61">
        <v>215733.18</v>
      </c>
      <c r="T166" s="61">
        <v>0</v>
      </c>
      <c r="U166" s="61">
        <v>0</v>
      </c>
      <c r="V166" s="61">
        <v>0</v>
      </c>
      <c r="W166" s="59">
        <f t="shared" si="27"/>
        <v>1438221.19</v>
      </c>
      <c r="X166" s="61" t="s">
        <v>439</v>
      </c>
      <c r="Y166" s="41">
        <v>56602.35</v>
      </c>
      <c r="Z166" s="76">
        <v>9988.65</v>
      </c>
    </row>
    <row r="167" spans="2:26" s="8" customFormat="1" ht="66.75" customHeight="1" x14ac:dyDescent="0.25">
      <c r="B167" s="118">
        <f t="shared" si="28"/>
        <v>139</v>
      </c>
      <c r="C167" s="147"/>
      <c r="D167" s="7" t="s">
        <v>181</v>
      </c>
      <c r="E167" s="7">
        <v>105668</v>
      </c>
      <c r="F167" s="114" t="s">
        <v>182</v>
      </c>
      <c r="G167" s="120" t="s">
        <v>347</v>
      </c>
      <c r="H167" s="101">
        <v>42963</v>
      </c>
      <c r="I167" s="101">
        <v>43982</v>
      </c>
      <c r="J167" s="96">
        <v>0.85</v>
      </c>
      <c r="K167" s="96" t="s">
        <v>728</v>
      </c>
      <c r="L167" s="10" t="s">
        <v>498</v>
      </c>
      <c r="M167" s="10" t="s">
        <v>560</v>
      </c>
      <c r="N167" s="10"/>
      <c r="O167" s="10" t="s">
        <v>253</v>
      </c>
      <c r="P167" s="106" t="s">
        <v>603</v>
      </c>
      <c r="Q167" s="106">
        <f t="shared" si="21"/>
        <v>7911353.2200000007</v>
      </c>
      <c r="R167" s="61">
        <v>6724650.2400000002</v>
      </c>
      <c r="S167" s="61">
        <v>1186702.98</v>
      </c>
      <c r="T167" s="61">
        <v>0</v>
      </c>
      <c r="U167" s="61">
        <v>0</v>
      </c>
      <c r="V167" s="61">
        <v>0</v>
      </c>
      <c r="W167" s="59">
        <f t="shared" si="27"/>
        <v>7911353.2200000007</v>
      </c>
      <c r="X167" s="61" t="s">
        <v>254</v>
      </c>
      <c r="Y167" s="41">
        <v>339728.85</v>
      </c>
      <c r="Z167" s="41">
        <v>59952.160000000011</v>
      </c>
    </row>
    <row r="168" spans="2:26" s="8" customFormat="1" ht="66.75" customHeight="1" x14ac:dyDescent="0.25">
      <c r="B168" s="118">
        <f t="shared" si="28"/>
        <v>140</v>
      </c>
      <c r="C168" s="147"/>
      <c r="D168" s="7" t="s">
        <v>186</v>
      </c>
      <c r="E168" s="7">
        <v>102066</v>
      </c>
      <c r="F168" s="114" t="s">
        <v>187</v>
      </c>
      <c r="G168" s="120" t="s">
        <v>429</v>
      </c>
      <c r="H168" s="10" t="s">
        <v>430</v>
      </c>
      <c r="I168" s="10" t="s">
        <v>431</v>
      </c>
      <c r="J168" s="96">
        <v>0.85</v>
      </c>
      <c r="K168" s="96" t="s">
        <v>728</v>
      </c>
      <c r="L168" s="10" t="s">
        <v>501</v>
      </c>
      <c r="M168" s="10" t="s">
        <v>528</v>
      </c>
      <c r="N168" s="10"/>
      <c r="O168" s="10" t="s">
        <v>252</v>
      </c>
      <c r="P168" s="106" t="s">
        <v>603</v>
      </c>
      <c r="Q168" s="106">
        <f t="shared" si="21"/>
        <v>1209222.54</v>
      </c>
      <c r="R168" s="61">
        <v>1027839.16</v>
      </c>
      <c r="S168" s="61">
        <v>181383.38</v>
      </c>
      <c r="T168" s="61">
        <v>0</v>
      </c>
      <c r="U168" s="61">
        <v>0</v>
      </c>
      <c r="V168" s="61">
        <v>0</v>
      </c>
      <c r="W168" s="59">
        <f t="shared" si="27"/>
        <v>1209222.54</v>
      </c>
      <c r="X168" s="61" t="s">
        <v>254</v>
      </c>
      <c r="Y168" s="41">
        <f>27947.15+77597.56+1913.89+2172.59</f>
        <v>109631.18999999999</v>
      </c>
      <c r="Z168" s="41">
        <f>4931.85+13693.69+337.75+383.4</f>
        <v>19346.690000000002</v>
      </c>
    </row>
    <row r="169" spans="2:26" s="8" customFormat="1" ht="66.75" customHeight="1" x14ac:dyDescent="0.25">
      <c r="B169" s="118">
        <f t="shared" si="28"/>
        <v>141</v>
      </c>
      <c r="C169" s="147"/>
      <c r="D169" s="7" t="s">
        <v>193</v>
      </c>
      <c r="E169" s="7">
        <v>103698</v>
      </c>
      <c r="F169" s="114" t="s">
        <v>194</v>
      </c>
      <c r="G169" s="120" t="s">
        <v>461</v>
      </c>
      <c r="H169" s="10" t="s">
        <v>259</v>
      </c>
      <c r="I169" s="10" t="s">
        <v>260</v>
      </c>
      <c r="J169" s="96">
        <v>0.85</v>
      </c>
      <c r="K169" s="96" t="s">
        <v>728</v>
      </c>
      <c r="L169" s="10" t="s">
        <v>491</v>
      </c>
      <c r="M169" s="10" t="s">
        <v>547</v>
      </c>
      <c r="N169" s="10"/>
      <c r="O169" s="10" t="s">
        <v>253</v>
      </c>
      <c r="P169" s="106" t="s">
        <v>603</v>
      </c>
      <c r="Q169" s="106">
        <f t="shared" ref="Q169:Q174" si="29">+R169+S169+T169</f>
        <v>3018540.96</v>
      </c>
      <c r="R169" s="61">
        <v>2565759.8199999998</v>
      </c>
      <c r="S169" s="61">
        <v>452781.14</v>
      </c>
      <c r="T169" s="61">
        <v>0</v>
      </c>
      <c r="U169" s="61">
        <v>325745.36</v>
      </c>
      <c r="V169" s="61">
        <v>0</v>
      </c>
      <c r="W169" s="59">
        <f t="shared" si="27"/>
        <v>3344286.32</v>
      </c>
      <c r="X169" s="61" t="s">
        <v>254</v>
      </c>
      <c r="Y169" s="41">
        <v>180350.62</v>
      </c>
      <c r="Z169" s="41">
        <v>31826.58</v>
      </c>
    </row>
    <row r="170" spans="2:26" s="8" customFormat="1" ht="66.75" customHeight="1" x14ac:dyDescent="0.25">
      <c r="B170" s="118">
        <f t="shared" si="28"/>
        <v>142</v>
      </c>
      <c r="C170" s="147"/>
      <c r="D170" s="7" t="s">
        <v>219</v>
      </c>
      <c r="E170" s="7">
        <v>103707</v>
      </c>
      <c r="F170" s="114" t="s">
        <v>220</v>
      </c>
      <c r="G170" s="120" t="s">
        <v>316</v>
      </c>
      <c r="H170" s="101">
        <v>42986</v>
      </c>
      <c r="I170" s="101">
        <v>43860</v>
      </c>
      <c r="J170" s="96">
        <v>0.85</v>
      </c>
      <c r="K170" s="96" t="s">
        <v>728</v>
      </c>
      <c r="L170" s="10" t="s">
        <v>497</v>
      </c>
      <c r="M170" s="10" t="s">
        <v>561</v>
      </c>
      <c r="N170" s="10"/>
      <c r="O170" s="155" t="s">
        <v>253</v>
      </c>
      <c r="P170" s="106" t="s">
        <v>603</v>
      </c>
      <c r="Q170" s="106">
        <f t="shared" si="29"/>
        <v>3098335.11</v>
      </c>
      <c r="R170" s="61">
        <v>2633584.84</v>
      </c>
      <c r="S170" s="61">
        <v>460821.95</v>
      </c>
      <c r="T170" s="61">
        <v>3928.32</v>
      </c>
      <c r="U170" s="61">
        <v>68159</v>
      </c>
      <c r="V170" s="61">
        <v>0</v>
      </c>
      <c r="W170" s="59">
        <f t="shared" si="27"/>
        <v>3166494.11</v>
      </c>
      <c r="X170" s="64" t="s">
        <v>254</v>
      </c>
      <c r="Y170" s="41">
        <v>60523.26</v>
      </c>
      <c r="Z170" s="41">
        <v>10680.57</v>
      </c>
    </row>
    <row r="171" spans="2:26" s="8" customFormat="1" ht="139.5" customHeight="1" x14ac:dyDescent="0.25">
      <c r="B171" s="118">
        <f t="shared" si="28"/>
        <v>143</v>
      </c>
      <c r="C171" s="147"/>
      <c r="D171" s="7" t="s">
        <v>237</v>
      </c>
      <c r="E171" s="7">
        <v>102369</v>
      </c>
      <c r="F171" s="114" t="s">
        <v>590</v>
      </c>
      <c r="G171" s="120" t="s">
        <v>323</v>
      </c>
      <c r="H171" s="101">
        <v>43010</v>
      </c>
      <c r="I171" s="101">
        <v>43860</v>
      </c>
      <c r="J171" s="96">
        <v>0.85</v>
      </c>
      <c r="K171" s="96" t="s">
        <v>728</v>
      </c>
      <c r="L171" s="10" t="s">
        <v>562</v>
      </c>
      <c r="M171" s="10" t="s">
        <v>487</v>
      </c>
      <c r="N171" s="10"/>
      <c r="O171" s="10" t="s">
        <v>253</v>
      </c>
      <c r="P171" s="106" t="s">
        <v>603</v>
      </c>
      <c r="Q171" s="106">
        <f t="shared" si="29"/>
        <v>3172245.93</v>
      </c>
      <c r="R171" s="61">
        <v>2696409.04</v>
      </c>
      <c r="S171" s="61">
        <v>475836.89</v>
      </c>
      <c r="T171" s="61">
        <v>0</v>
      </c>
      <c r="U171" s="61">
        <v>0</v>
      </c>
      <c r="V171" s="61">
        <v>0</v>
      </c>
      <c r="W171" s="59">
        <f t="shared" si="27"/>
        <v>3172245.93</v>
      </c>
      <c r="X171" s="61" t="s">
        <v>254</v>
      </c>
      <c r="Y171" s="41">
        <v>514168.67</v>
      </c>
      <c r="Z171" s="41">
        <v>90735.65</v>
      </c>
    </row>
    <row r="172" spans="2:26" s="8" customFormat="1" ht="92.25" customHeight="1" x14ac:dyDescent="0.25">
      <c r="B172" s="118">
        <f t="shared" si="28"/>
        <v>144</v>
      </c>
      <c r="C172" s="147"/>
      <c r="D172" s="7" t="s">
        <v>240</v>
      </c>
      <c r="E172" s="7">
        <v>108227</v>
      </c>
      <c r="F172" s="114" t="s">
        <v>589</v>
      </c>
      <c r="G172" s="120" t="s">
        <v>480</v>
      </c>
      <c r="H172" s="101">
        <v>43020</v>
      </c>
      <c r="I172" s="101">
        <v>43982</v>
      </c>
      <c r="J172" s="96">
        <v>0.85</v>
      </c>
      <c r="K172" s="96" t="s">
        <v>728</v>
      </c>
      <c r="L172" s="10" t="s">
        <v>563</v>
      </c>
      <c r="M172" s="10" t="s">
        <v>370</v>
      </c>
      <c r="N172" s="10"/>
      <c r="O172" s="10" t="s">
        <v>253</v>
      </c>
      <c r="P172" s="106" t="s">
        <v>603</v>
      </c>
      <c r="Q172" s="149">
        <f t="shared" si="29"/>
        <v>2273600.85</v>
      </c>
      <c r="R172" s="59">
        <v>1932560.72</v>
      </c>
      <c r="S172" s="59">
        <v>341040.13</v>
      </c>
      <c r="T172" s="59">
        <v>0</v>
      </c>
      <c r="U172" s="61">
        <v>0</v>
      </c>
      <c r="V172" s="61">
        <v>0</v>
      </c>
      <c r="W172" s="59">
        <f t="shared" si="27"/>
        <v>2273600.85</v>
      </c>
      <c r="X172" s="61" t="s">
        <v>254</v>
      </c>
      <c r="Y172" s="41">
        <v>85039.1</v>
      </c>
      <c r="Z172" s="41">
        <v>15006.9</v>
      </c>
    </row>
    <row r="173" spans="2:26" s="8" customFormat="1" ht="97.5" customHeight="1" x14ac:dyDescent="0.25">
      <c r="B173" s="118">
        <f t="shared" si="28"/>
        <v>145</v>
      </c>
      <c r="C173" s="243"/>
      <c r="D173" s="7" t="s">
        <v>241</v>
      </c>
      <c r="E173" s="7">
        <v>104845</v>
      </c>
      <c r="F173" s="114" t="s">
        <v>588</v>
      </c>
      <c r="G173" s="120" t="s">
        <v>469</v>
      </c>
      <c r="H173" s="101">
        <v>43034</v>
      </c>
      <c r="I173" s="101">
        <v>43890</v>
      </c>
      <c r="J173" s="96">
        <v>0.85</v>
      </c>
      <c r="K173" s="96" t="s">
        <v>728</v>
      </c>
      <c r="L173" s="10" t="s">
        <v>564</v>
      </c>
      <c r="M173" s="10" t="s">
        <v>544</v>
      </c>
      <c r="N173" s="10"/>
      <c r="O173" s="10" t="s">
        <v>251</v>
      </c>
      <c r="P173" s="106" t="s">
        <v>603</v>
      </c>
      <c r="Q173" s="67">
        <f t="shared" si="29"/>
        <v>2722426.66</v>
      </c>
      <c r="R173" s="61">
        <v>2314062.66</v>
      </c>
      <c r="S173" s="61">
        <v>408364</v>
      </c>
      <c r="T173" s="61"/>
      <c r="U173" s="61">
        <v>461439.46</v>
      </c>
      <c r="V173" s="61">
        <v>0</v>
      </c>
      <c r="W173" s="59">
        <f t="shared" si="27"/>
        <v>3183866.12</v>
      </c>
      <c r="X173" s="61" t="s">
        <v>254</v>
      </c>
      <c r="Y173" s="41">
        <v>49226.9</v>
      </c>
      <c r="Z173" s="41">
        <v>8687.1</v>
      </c>
    </row>
    <row r="174" spans="2:26" s="8" customFormat="1" ht="83.25" customHeight="1" x14ac:dyDescent="0.25">
      <c r="B174" s="118">
        <f t="shared" si="28"/>
        <v>146</v>
      </c>
      <c r="C174" s="243"/>
      <c r="D174" s="7" t="s">
        <v>242</v>
      </c>
      <c r="E174" s="7">
        <v>107498</v>
      </c>
      <c r="F174" s="114" t="s">
        <v>587</v>
      </c>
      <c r="G174" s="120" t="s">
        <v>477</v>
      </c>
      <c r="H174" s="101">
        <v>43034</v>
      </c>
      <c r="I174" s="10" t="s">
        <v>261</v>
      </c>
      <c r="J174" s="96">
        <v>0.85</v>
      </c>
      <c r="K174" s="96" t="s">
        <v>728</v>
      </c>
      <c r="L174" s="10" t="s">
        <v>565</v>
      </c>
      <c r="M174" s="10" t="s">
        <v>288</v>
      </c>
      <c r="N174" s="10"/>
      <c r="O174" s="10" t="s">
        <v>252</v>
      </c>
      <c r="P174" s="106" t="s">
        <v>603</v>
      </c>
      <c r="Q174" s="67">
        <f t="shared" si="29"/>
        <v>20988640.890000001</v>
      </c>
      <c r="R174" s="61">
        <v>17840344.760000002</v>
      </c>
      <c r="S174" s="61">
        <v>3148296.13</v>
      </c>
      <c r="T174" s="61">
        <v>0</v>
      </c>
      <c r="U174" s="61">
        <v>5355</v>
      </c>
      <c r="V174" s="61">
        <v>0</v>
      </c>
      <c r="W174" s="59">
        <f t="shared" si="27"/>
        <v>20993995.890000001</v>
      </c>
      <c r="X174" s="61" t="s">
        <v>254</v>
      </c>
      <c r="Y174" s="41">
        <v>144950.93</v>
      </c>
      <c r="Z174" s="41">
        <v>25579.57</v>
      </c>
    </row>
    <row r="175" spans="2:26" s="8" customFormat="1" ht="70.5" customHeight="1" x14ac:dyDescent="0.25">
      <c r="B175" s="118">
        <f t="shared" si="28"/>
        <v>147</v>
      </c>
      <c r="C175" s="244"/>
      <c r="D175" s="7" t="s">
        <v>243</v>
      </c>
      <c r="E175" s="7">
        <v>102378</v>
      </c>
      <c r="F175" s="114" t="s">
        <v>586</v>
      </c>
      <c r="G175" s="120" t="s">
        <v>318</v>
      </c>
      <c r="H175" s="100">
        <v>42979</v>
      </c>
      <c r="I175" s="101">
        <v>44074</v>
      </c>
      <c r="J175" s="96">
        <v>0.85</v>
      </c>
      <c r="K175" s="96" t="s">
        <v>728</v>
      </c>
      <c r="L175" s="10" t="s">
        <v>484</v>
      </c>
      <c r="M175" s="10"/>
      <c r="N175" s="10"/>
      <c r="O175" s="10" t="s">
        <v>253</v>
      </c>
      <c r="P175" s="106" t="s">
        <v>603</v>
      </c>
      <c r="Q175" s="67">
        <f>+R175+S175+T175</f>
        <v>7562449.5699999994</v>
      </c>
      <c r="R175" s="61">
        <v>6428082.1299999999</v>
      </c>
      <c r="S175" s="61">
        <v>981907.51</v>
      </c>
      <c r="T175" s="61">
        <v>152459.93</v>
      </c>
      <c r="U175" s="61">
        <v>0</v>
      </c>
      <c r="V175" s="61">
        <v>0</v>
      </c>
      <c r="W175" s="59">
        <f t="shared" si="27"/>
        <v>7562449.5699999994</v>
      </c>
      <c r="X175" s="61" t="s">
        <v>254</v>
      </c>
      <c r="Y175" s="41">
        <f>389418.15</f>
        <v>389418.15</v>
      </c>
      <c r="Z175" s="41">
        <f>68720.85</f>
        <v>68720.850000000006</v>
      </c>
    </row>
    <row r="176" spans="2:26" s="8" customFormat="1" ht="83.25" customHeight="1" x14ac:dyDescent="0.25">
      <c r="B176" s="118">
        <f t="shared" si="28"/>
        <v>148</v>
      </c>
      <c r="C176" s="110"/>
      <c r="D176" s="7" t="s">
        <v>574</v>
      </c>
      <c r="E176" s="7">
        <v>105180</v>
      </c>
      <c r="F176" s="114" t="s">
        <v>575</v>
      </c>
      <c r="G176" s="120" t="s">
        <v>574</v>
      </c>
      <c r="H176" s="101" t="s">
        <v>591</v>
      </c>
      <c r="I176" s="101">
        <v>43858</v>
      </c>
      <c r="J176" s="96">
        <v>0.85</v>
      </c>
      <c r="K176" s="96" t="s">
        <v>728</v>
      </c>
      <c r="L176" s="10" t="s">
        <v>486</v>
      </c>
      <c r="M176" s="10" t="s">
        <v>556</v>
      </c>
      <c r="N176" s="10"/>
      <c r="O176" s="10" t="s">
        <v>253</v>
      </c>
      <c r="P176" s="106" t="s">
        <v>603</v>
      </c>
      <c r="Q176" s="67">
        <f>+R176+S176+T176</f>
        <v>3001693.72</v>
      </c>
      <c r="R176" s="61">
        <v>2551439.66</v>
      </c>
      <c r="S176" s="61">
        <v>448134.27</v>
      </c>
      <c r="T176" s="61">
        <v>2119.79</v>
      </c>
      <c r="U176" s="59">
        <v>26247.88</v>
      </c>
      <c r="V176" s="61">
        <v>0</v>
      </c>
      <c r="W176" s="59">
        <f t="shared" si="27"/>
        <v>3027941.6</v>
      </c>
      <c r="X176" s="61" t="s">
        <v>254</v>
      </c>
      <c r="Y176" s="41">
        <v>12349.65</v>
      </c>
      <c r="Z176" s="76">
        <v>2179.35</v>
      </c>
    </row>
    <row r="177" spans="2:29" s="8" customFormat="1" ht="66.75" customHeight="1" x14ac:dyDescent="0.25">
      <c r="B177" s="184">
        <f t="shared" si="28"/>
        <v>149</v>
      </c>
      <c r="C177" s="201"/>
      <c r="D177" s="7" t="s">
        <v>687</v>
      </c>
      <c r="E177" s="7">
        <v>105894</v>
      </c>
      <c r="F177" s="185" t="s">
        <v>688</v>
      </c>
      <c r="G177" s="122" t="s">
        <v>699</v>
      </c>
      <c r="H177" s="101" t="s">
        <v>689</v>
      </c>
      <c r="I177" s="101">
        <v>44165</v>
      </c>
      <c r="J177" s="96">
        <v>0.85</v>
      </c>
      <c r="K177" s="96" t="s">
        <v>728</v>
      </c>
      <c r="L177" s="10" t="s">
        <v>491</v>
      </c>
      <c r="M177" s="10" t="s">
        <v>492</v>
      </c>
      <c r="N177" s="10"/>
      <c r="O177" s="10" t="s">
        <v>253</v>
      </c>
      <c r="P177" s="106" t="s">
        <v>603</v>
      </c>
      <c r="Q177" s="67">
        <f>+R177+S177+T177</f>
        <v>5745029.8599999994</v>
      </c>
      <c r="R177" s="68">
        <v>4883275.38</v>
      </c>
      <c r="S177" s="68">
        <v>861754.48</v>
      </c>
      <c r="T177" s="68">
        <v>0</v>
      </c>
      <c r="U177" s="59">
        <v>0</v>
      </c>
      <c r="V177" s="61">
        <v>0</v>
      </c>
      <c r="W177" s="59">
        <f t="shared" si="27"/>
        <v>5745029.8599999994</v>
      </c>
      <c r="X177" s="61" t="s">
        <v>254</v>
      </c>
      <c r="Y177" s="41">
        <v>0</v>
      </c>
      <c r="Z177" s="41">
        <v>0</v>
      </c>
    </row>
    <row r="178" spans="2:29" s="8" customFormat="1" ht="18" customHeight="1" x14ac:dyDescent="0.25">
      <c r="B178" s="87"/>
      <c r="C178" s="31" t="s">
        <v>75</v>
      </c>
      <c r="D178" s="31"/>
      <c r="E178" s="31"/>
      <c r="F178" s="31"/>
      <c r="G178" s="132"/>
      <c r="H178" s="31"/>
      <c r="I178" s="31"/>
      <c r="J178" s="31"/>
      <c r="K178" s="96" t="s">
        <v>728</v>
      </c>
      <c r="L178" s="31"/>
      <c r="M178" s="31"/>
      <c r="N178" s="31"/>
      <c r="O178" s="31"/>
      <c r="P178" s="107"/>
      <c r="Q178" s="66">
        <f t="shared" si="21"/>
        <v>151006465.92000002</v>
      </c>
      <c r="R178" s="66">
        <f>SUM(R145:R177)</f>
        <v>128355496.02999999</v>
      </c>
      <c r="S178" s="66">
        <f t="shared" ref="S178:W178" si="30">SUM(S145:S177)</f>
        <v>21643538.780000001</v>
      </c>
      <c r="T178" s="66">
        <f t="shared" si="30"/>
        <v>1007431.1100000001</v>
      </c>
      <c r="U178" s="66">
        <f t="shared" si="30"/>
        <v>3539582.06</v>
      </c>
      <c r="V178" s="66">
        <f t="shared" si="30"/>
        <v>15800</v>
      </c>
      <c r="W178" s="66">
        <f t="shared" si="30"/>
        <v>154561847.98000002</v>
      </c>
      <c r="X178" s="43"/>
      <c r="Y178" s="43">
        <f t="shared" ref="Y178:Z178" si="31">SUM(Y145:Y176)</f>
        <v>8641392.1799999997</v>
      </c>
      <c r="Z178" s="78">
        <f t="shared" si="31"/>
        <v>1524951.59</v>
      </c>
      <c r="AB178" s="8">
        <f>+AA170-AA178</f>
        <v>0</v>
      </c>
    </row>
    <row r="179" spans="2:29" s="8" customFormat="1" ht="87" customHeight="1" x14ac:dyDescent="0.25">
      <c r="B179" s="118">
        <v>150</v>
      </c>
      <c r="C179" s="246" t="s">
        <v>608</v>
      </c>
      <c r="D179" s="7" t="s">
        <v>638</v>
      </c>
      <c r="E179" s="7">
        <v>109815</v>
      </c>
      <c r="F179" s="116" t="s">
        <v>218</v>
      </c>
      <c r="G179" s="150" t="s">
        <v>470</v>
      </c>
      <c r="H179" s="100">
        <v>42905</v>
      </c>
      <c r="I179" s="100">
        <v>44196</v>
      </c>
      <c r="J179" s="96">
        <v>0.85</v>
      </c>
      <c r="K179" s="96" t="s">
        <v>728</v>
      </c>
      <c r="L179" s="94" t="s">
        <v>491</v>
      </c>
      <c r="M179" s="94" t="s">
        <v>547</v>
      </c>
      <c r="N179" s="94"/>
      <c r="O179" s="94" t="s">
        <v>251</v>
      </c>
      <c r="P179" s="94" t="s">
        <v>603</v>
      </c>
      <c r="Q179" s="63">
        <f t="shared" si="21"/>
        <v>79568907</v>
      </c>
      <c r="R179" s="61">
        <v>67633570.950000003</v>
      </c>
      <c r="S179" s="61">
        <v>10343957.91</v>
      </c>
      <c r="T179" s="61">
        <v>1591378.14</v>
      </c>
      <c r="U179" s="61">
        <v>14868403.449999999</v>
      </c>
      <c r="V179" s="61">
        <v>0</v>
      </c>
      <c r="W179" s="59">
        <f>R179+S179+T179+U179+V179</f>
        <v>94437310.450000003</v>
      </c>
      <c r="X179" s="68" t="s">
        <v>254</v>
      </c>
      <c r="Y179" s="151">
        <v>0</v>
      </c>
      <c r="Z179" s="152">
        <v>0</v>
      </c>
    </row>
    <row r="180" spans="2:29" s="8" customFormat="1" ht="189.75" customHeight="1" x14ac:dyDescent="0.25">
      <c r="B180" s="118">
        <f>+B179+1</f>
        <v>151</v>
      </c>
      <c r="C180" s="247"/>
      <c r="D180" s="7" t="s">
        <v>234</v>
      </c>
      <c r="E180" s="7">
        <v>109910</v>
      </c>
      <c r="F180" s="116" t="s">
        <v>235</v>
      </c>
      <c r="G180" s="150" t="s">
        <v>476</v>
      </c>
      <c r="H180" s="100">
        <v>43005</v>
      </c>
      <c r="I180" s="100">
        <v>44196</v>
      </c>
      <c r="J180" s="96">
        <v>0.85</v>
      </c>
      <c r="K180" s="96" t="s">
        <v>728</v>
      </c>
      <c r="L180" s="94" t="s">
        <v>566</v>
      </c>
      <c r="M180" s="94" t="s">
        <v>503</v>
      </c>
      <c r="N180" s="94"/>
      <c r="O180" s="94" t="s">
        <v>251</v>
      </c>
      <c r="P180" s="94" t="s">
        <v>603</v>
      </c>
      <c r="Q180" s="63">
        <f t="shared" si="21"/>
        <v>29429731.460000001</v>
      </c>
      <c r="R180" s="61">
        <v>25015271.82</v>
      </c>
      <c r="S180" s="61">
        <v>3825865.09</v>
      </c>
      <c r="T180" s="61">
        <v>588594.55000000005</v>
      </c>
      <c r="U180" s="61">
        <v>5843883.2999999998</v>
      </c>
      <c r="V180" s="61">
        <v>0</v>
      </c>
      <c r="W180" s="59">
        <f>R180+S180+T180+U180+V180</f>
        <v>35273614.759999998</v>
      </c>
      <c r="X180" s="59" t="s">
        <v>254</v>
      </c>
      <c r="Y180" s="151">
        <v>5060872.93</v>
      </c>
      <c r="Z180" s="152">
        <v>774015.86</v>
      </c>
    </row>
    <row r="181" spans="2:29" s="8" customFormat="1" ht="18" customHeight="1" x14ac:dyDescent="0.25">
      <c r="B181" s="87"/>
      <c r="C181" s="31" t="s">
        <v>148</v>
      </c>
      <c r="D181" s="31"/>
      <c r="E181" s="31"/>
      <c r="F181" s="31"/>
      <c r="G181" s="132"/>
      <c r="H181" s="31"/>
      <c r="I181" s="31"/>
      <c r="J181" s="31"/>
      <c r="K181" s="31"/>
      <c r="L181" s="31"/>
      <c r="M181" s="31"/>
      <c r="N181" s="31"/>
      <c r="O181" s="31"/>
      <c r="P181" s="31"/>
      <c r="Q181" s="43">
        <f t="shared" si="21"/>
        <v>108998638.46000001</v>
      </c>
      <c r="R181" s="43">
        <f>SUM(R179:R180)</f>
        <v>92648842.770000011</v>
      </c>
      <c r="S181" s="43">
        <f t="shared" ref="S181:Z181" si="32">SUM(S179:S180)</f>
        <v>14169823</v>
      </c>
      <c r="T181" s="43">
        <f t="shared" si="32"/>
        <v>2179972.69</v>
      </c>
      <c r="U181" s="43">
        <f>SUM(U145:U178)</f>
        <v>7079164.1200000001</v>
      </c>
      <c r="V181" s="43">
        <f t="shared" si="32"/>
        <v>0</v>
      </c>
      <c r="W181" s="43">
        <f t="shared" si="32"/>
        <v>129710925.21000001</v>
      </c>
      <c r="X181" s="43"/>
      <c r="Y181" s="43">
        <f t="shared" si="32"/>
        <v>5060872.93</v>
      </c>
      <c r="Z181" s="78">
        <f t="shared" si="32"/>
        <v>774015.86</v>
      </c>
      <c r="AA181" s="12"/>
      <c r="AB181" s="12"/>
    </row>
    <row r="182" spans="2:29" s="8" customFormat="1" ht="25.5" customHeight="1" x14ac:dyDescent="0.25">
      <c r="B182" s="80"/>
      <c r="C182" s="32" t="s">
        <v>74</v>
      </c>
      <c r="D182" s="32"/>
      <c r="E182" s="32"/>
      <c r="F182" s="32"/>
      <c r="G182" s="123"/>
      <c r="H182" s="32"/>
      <c r="I182" s="32"/>
      <c r="J182" s="32"/>
      <c r="K182" s="32"/>
      <c r="L182" s="32"/>
      <c r="M182" s="32"/>
      <c r="N182" s="32"/>
      <c r="O182" s="32"/>
      <c r="P182" s="32"/>
      <c r="Q182" s="44">
        <f t="shared" ref="Q182:Q200" si="33">+R182+S182+T182</f>
        <v>260005104.38000003</v>
      </c>
      <c r="R182" s="44">
        <f>+R181+R178</f>
        <v>221004338.80000001</v>
      </c>
      <c r="S182" s="44">
        <f t="shared" ref="S182:W182" si="34">S181+S178</f>
        <v>35813361.780000001</v>
      </c>
      <c r="T182" s="44">
        <f t="shared" si="34"/>
        <v>3187403.8</v>
      </c>
      <c r="U182" s="44">
        <f t="shared" si="34"/>
        <v>10618746.18</v>
      </c>
      <c r="V182" s="44">
        <f t="shared" si="34"/>
        <v>15800</v>
      </c>
      <c r="W182" s="44">
        <f t="shared" si="34"/>
        <v>284272773.19000006</v>
      </c>
      <c r="X182" s="44"/>
      <c r="Y182" s="44">
        <f>+Y178+Y181</f>
        <v>13702265.109999999</v>
      </c>
      <c r="Z182" s="81">
        <f>+Z178+Z181</f>
        <v>2298967.4500000002</v>
      </c>
      <c r="AA182" s="12"/>
      <c r="AB182" s="12"/>
    </row>
    <row r="183" spans="2:29" s="8" customFormat="1" x14ac:dyDescent="0.25">
      <c r="B183" s="73"/>
      <c r="C183" s="29" t="s">
        <v>3</v>
      </c>
      <c r="D183" s="29"/>
      <c r="E183" s="29"/>
      <c r="F183" s="103"/>
      <c r="G183" s="128"/>
      <c r="H183" s="103"/>
      <c r="I183" s="103"/>
      <c r="J183" s="103"/>
      <c r="K183" s="103"/>
      <c r="L183" s="103"/>
      <c r="M183" s="103"/>
      <c r="N183" s="103"/>
      <c r="O183" s="103"/>
      <c r="P183" s="103"/>
      <c r="Q183" s="48"/>
      <c r="R183" s="48"/>
      <c r="S183" s="48"/>
      <c r="T183" s="48"/>
      <c r="U183" s="48"/>
      <c r="V183" s="48"/>
      <c r="W183" s="48"/>
      <c r="X183" s="48"/>
      <c r="Y183" s="49"/>
      <c r="Z183" s="88"/>
      <c r="AA183" s="12"/>
      <c r="AB183" s="12"/>
      <c r="AC183" s="12"/>
    </row>
    <row r="184" spans="2:29" s="8" customFormat="1" ht="90.75" customHeight="1" x14ac:dyDescent="0.25">
      <c r="B184" s="168">
        <v>152</v>
      </c>
      <c r="C184" s="169" t="s">
        <v>663</v>
      </c>
      <c r="D184" s="181" t="s">
        <v>658</v>
      </c>
      <c r="E184" s="7">
        <v>111814</v>
      </c>
      <c r="F184" s="6" t="s">
        <v>659</v>
      </c>
      <c r="G184" s="148" t="s">
        <v>671</v>
      </c>
      <c r="H184" s="100" t="s">
        <v>661</v>
      </c>
      <c r="I184" s="100" t="s">
        <v>662</v>
      </c>
      <c r="J184" s="96">
        <v>0.85</v>
      </c>
      <c r="K184" s="96" t="s">
        <v>728</v>
      </c>
      <c r="L184" s="95" t="s">
        <v>486</v>
      </c>
      <c r="M184" s="95" t="s">
        <v>489</v>
      </c>
      <c r="N184" s="95" t="s">
        <v>489</v>
      </c>
      <c r="O184" s="94" t="s">
        <v>251</v>
      </c>
      <c r="P184" s="95" t="s">
        <v>604</v>
      </c>
      <c r="Q184" s="68">
        <f>+R184+S184+T184</f>
        <v>9739665</v>
      </c>
      <c r="R184" s="68">
        <v>8278715.25</v>
      </c>
      <c r="S184" s="68">
        <v>0</v>
      </c>
      <c r="T184" s="68">
        <v>1460949.75</v>
      </c>
      <c r="U184" s="68">
        <v>1879465.2</v>
      </c>
      <c r="V184" s="68">
        <v>0</v>
      </c>
      <c r="W184" s="68">
        <f>+R184+S184+T184+U184+V184</f>
        <v>11619130.199999999</v>
      </c>
      <c r="X184" s="68" t="s">
        <v>254</v>
      </c>
      <c r="Y184" s="61">
        <v>0</v>
      </c>
      <c r="Z184" s="61">
        <v>0</v>
      </c>
      <c r="AA184" s="12"/>
      <c r="AB184" s="12"/>
      <c r="AC184" s="12"/>
    </row>
    <row r="185" spans="2:29" s="8" customFormat="1" ht="90.75" customHeight="1" x14ac:dyDescent="0.25">
      <c r="B185" s="168">
        <f>+B184+1</f>
        <v>153</v>
      </c>
      <c r="C185" s="192" t="s">
        <v>663</v>
      </c>
      <c r="D185" s="7" t="s">
        <v>681</v>
      </c>
      <c r="E185" s="7"/>
      <c r="F185" s="6" t="s">
        <v>659</v>
      </c>
      <c r="G185" s="148" t="s">
        <v>700</v>
      </c>
      <c r="H185" s="100" t="s">
        <v>682</v>
      </c>
      <c r="I185" s="100">
        <v>44377</v>
      </c>
      <c r="J185" s="96">
        <v>0.85</v>
      </c>
      <c r="K185" s="96" t="s">
        <v>728</v>
      </c>
      <c r="L185" s="95" t="s">
        <v>501</v>
      </c>
      <c r="M185" s="95" t="s">
        <v>517</v>
      </c>
      <c r="N185" s="95" t="s">
        <v>517</v>
      </c>
      <c r="O185" s="94" t="s">
        <v>251</v>
      </c>
      <c r="P185" s="95" t="s">
        <v>604</v>
      </c>
      <c r="Q185" s="68">
        <f>+R185+S185+T185</f>
        <v>6582221.4000000004</v>
      </c>
      <c r="R185" s="68">
        <v>5594888.1900000004</v>
      </c>
      <c r="S185" s="68">
        <v>0</v>
      </c>
      <c r="T185" s="68">
        <v>987333.21</v>
      </c>
      <c r="U185" s="68">
        <v>1290135.27</v>
      </c>
      <c r="V185" s="68">
        <v>0</v>
      </c>
      <c r="W185" s="68">
        <f>+R185+S185+T185+U185+V185</f>
        <v>7872356.6699999999</v>
      </c>
      <c r="X185" s="68" t="s">
        <v>254</v>
      </c>
      <c r="Y185" s="41">
        <v>0</v>
      </c>
      <c r="Z185" s="41">
        <v>0</v>
      </c>
      <c r="AA185" s="12"/>
      <c r="AB185" s="12"/>
      <c r="AC185" s="12"/>
    </row>
    <row r="186" spans="2:29" s="8" customFormat="1" ht="15" customHeight="1" x14ac:dyDescent="0.25">
      <c r="B186" s="89"/>
      <c r="C186" s="31" t="s">
        <v>660</v>
      </c>
      <c r="D186" s="33"/>
      <c r="E186" s="33"/>
      <c r="F186" s="33"/>
      <c r="G186" s="33"/>
      <c r="H186" s="33"/>
      <c r="I186" s="33"/>
      <c r="J186" s="33"/>
      <c r="K186" s="33"/>
      <c r="L186" s="33"/>
      <c r="M186" s="33"/>
      <c r="N186" s="33"/>
      <c r="O186" s="33"/>
      <c r="P186" s="33"/>
      <c r="Q186" s="43">
        <f>+R186+S186+T186</f>
        <v>16321886.400000002</v>
      </c>
      <c r="R186" s="43">
        <f>SUM(R184:R185)</f>
        <v>13873603.440000001</v>
      </c>
      <c r="S186" s="43">
        <f t="shared" ref="S186:W186" si="35">SUM(S184:S185)</f>
        <v>0</v>
      </c>
      <c r="T186" s="43">
        <f t="shared" si="35"/>
        <v>2448282.96</v>
      </c>
      <c r="U186" s="43">
        <f t="shared" si="35"/>
        <v>3169600.4699999997</v>
      </c>
      <c r="V186" s="43">
        <f t="shared" si="35"/>
        <v>0</v>
      </c>
      <c r="W186" s="43">
        <f t="shared" si="35"/>
        <v>19491486.869999997</v>
      </c>
      <c r="X186" s="33"/>
      <c r="Y186" s="43">
        <f t="shared" ref="Y186:Z186" si="36">+Y184</f>
        <v>0</v>
      </c>
      <c r="Z186" s="43">
        <f t="shared" si="36"/>
        <v>0</v>
      </c>
      <c r="AA186" s="12"/>
      <c r="AB186" s="12"/>
      <c r="AC186" s="12"/>
    </row>
    <row r="187" spans="2:29" s="8" customFormat="1" ht="165" customHeight="1" x14ac:dyDescent="0.25">
      <c r="B187" s="79">
        <f>+B185+1</f>
        <v>154</v>
      </c>
      <c r="C187" s="240" t="s">
        <v>609</v>
      </c>
      <c r="D187" s="7" t="s">
        <v>1</v>
      </c>
      <c r="E187" s="7">
        <v>102606</v>
      </c>
      <c r="F187" s="6" t="s">
        <v>2</v>
      </c>
      <c r="G187" s="122" t="s">
        <v>594</v>
      </c>
      <c r="H187" s="100">
        <v>42615</v>
      </c>
      <c r="I187" s="100">
        <v>42886</v>
      </c>
      <c r="J187" s="96">
        <v>0.85</v>
      </c>
      <c r="K187" s="96" t="s">
        <v>728</v>
      </c>
      <c r="L187" s="95" t="s">
        <v>567</v>
      </c>
      <c r="M187" s="95" t="s">
        <v>489</v>
      </c>
      <c r="N187" s="95" t="s">
        <v>489</v>
      </c>
      <c r="O187" s="94" t="s">
        <v>251</v>
      </c>
      <c r="P187" s="95" t="s">
        <v>604</v>
      </c>
      <c r="Q187" s="63">
        <f t="shared" si="33"/>
        <v>110365921</v>
      </c>
      <c r="R187" s="68">
        <v>93811033</v>
      </c>
      <c r="S187" s="68">
        <v>0</v>
      </c>
      <c r="T187" s="68">
        <v>16554888</v>
      </c>
      <c r="U187" s="61">
        <v>0</v>
      </c>
      <c r="V187" s="61">
        <v>0</v>
      </c>
      <c r="W187" s="61">
        <f>+R187+S187+T187+U187+V187</f>
        <v>110365921</v>
      </c>
      <c r="X187" s="68" t="s">
        <v>352</v>
      </c>
      <c r="Y187" s="41">
        <v>93378776.550000012</v>
      </c>
      <c r="Z187" s="76">
        <v>16478607.619999999</v>
      </c>
      <c r="AA187" s="12"/>
      <c r="AB187" s="12"/>
      <c r="AC187" s="12"/>
    </row>
    <row r="188" spans="2:29" s="8" customFormat="1" ht="66" customHeight="1" x14ac:dyDescent="0.25">
      <c r="B188" s="79">
        <f>+B187+1</f>
        <v>155</v>
      </c>
      <c r="C188" s="242"/>
      <c r="D188" s="7" t="s">
        <v>25</v>
      </c>
      <c r="E188" s="7">
        <v>104677</v>
      </c>
      <c r="F188" s="114" t="s">
        <v>89</v>
      </c>
      <c r="G188" s="120" t="s">
        <v>447</v>
      </c>
      <c r="H188" s="101">
        <v>42726</v>
      </c>
      <c r="I188" s="101">
        <v>43342</v>
      </c>
      <c r="J188" s="96">
        <v>0.85</v>
      </c>
      <c r="K188" s="96" t="s">
        <v>728</v>
      </c>
      <c r="L188" s="10" t="s">
        <v>490</v>
      </c>
      <c r="M188" s="10" t="s">
        <v>489</v>
      </c>
      <c r="N188" s="10" t="s">
        <v>489</v>
      </c>
      <c r="O188" s="94" t="s">
        <v>251</v>
      </c>
      <c r="P188" s="10" t="s">
        <v>604</v>
      </c>
      <c r="Q188" s="63">
        <f t="shared" si="33"/>
        <v>156932535</v>
      </c>
      <c r="R188" s="61">
        <v>133392655</v>
      </c>
      <c r="S188" s="61">
        <v>0</v>
      </c>
      <c r="T188" s="61">
        <v>23539880</v>
      </c>
      <c r="U188" s="61">
        <v>0</v>
      </c>
      <c r="V188" s="61">
        <v>0</v>
      </c>
      <c r="W188" s="61">
        <f>+R188+S188+T188+U188+V188</f>
        <v>156932535</v>
      </c>
      <c r="X188" s="68" t="s">
        <v>254</v>
      </c>
      <c r="Y188" s="41">
        <f>14481606.71+17653022.31+40754623.11</f>
        <v>72889252.129999995</v>
      </c>
      <c r="Z188" s="41">
        <f>2555577.65+3115239.23+7191992.31</f>
        <v>12862809.189999999</v>
      </c>
      <c r="AA188" s="12"/>
      <c r="AB188" s="12"/>
      <c r="AC188" s="12"/>
    </row>
    <row r="189" spans="2:29" s="8" customFormat="1" x14ac:dyDescent="0.25">
      <c r="B189" s="89"/>
      <c r="C189" s="31" t="s">
        <v>70</v>
      </c>
      <c r="D189" s="33"/>
      <c r="E189" s="33"/>
      <c r="F189" s="33"/>
      <c r="G189" s="132"/>
      <c r="H189" s="33"/>
      <c r="I189" s="33"/>
      <c r="J189" s="33"/>
      <c r="K189" s="33"/>
      <c r="L189" s="33"/>
      <c r="M189" s="33"/>
      <c r="N189" s="33"/>
      <c r="O189" s="33"/>
      <c r="P189" s="33"/>
      <c r="Q189" s="43">
        <f t="shared" si="33"/>
        <v>267298456</v>
      </c>
      <c r="R189" s="43">
        <f>R187+R188</f>
        <v>227203688</v>
      </c>
      <c r="S189" s="43">
        <f>S188+S187</f>
        <v>0</v>
      </c>
      <c r="T189" s="43">
        <f>T187+T188</f>
        <v>40094768</v>
      </c>
      <c r="U189" s="43">
        <f>U187+U188</f>
        <v>0</v>
      </c>
      <c r="V189" s="43">
        <f>V188+V187</f>
        <v>0</v>
      </c>
      <c r="W189" s="43">
        <f>W188+W187</f>
        <v>267298456</v>
      </c>
      <c r="X189" s="43"/>
      <c r="Y189" s="43">
        <f>+Y187+Y188</f>
        <v>166268028.68000001</v>
      </c>
      <c r="Z189" s="78">
        <f>+Z187+Z188</f>
        <v>29341416.809999999</v>
      </c>
      <c r="AA189" s="12"/>
      <c r="AB189" s="12"/>
      <c r="AC189" s="12"/>
    </row>
    <row r="190" spans="2:29" ht="16.5" customHeight="1" x14ac:dyDescent="0.25">
      <c r="B190" s="80"/>
      <c r="C190" s="32" t="s">
        <v>20</v>
      </c>
      <c r="D190" s="32"/>
      <c r="E190" s="32"/>
      <c r="F190" s="32"/>
      <c r="G190" s="123"/>
      <c r="H190" s="32"/>
      <c r="I190" s="32"/>
      <c r="J190" s="32"/>
      <c r="K190" s="32"/>
      <c r="L190" s="32"/>
      <c r="M190" s="32"/>
      <c r="N190" s="32"/>
      <c r="O190" s="32"/>
      <c r="P190" s="32"/>
      <c r="Q190" s="44">
        <f>+Q189+Q186</f>
        <v>283620342.39999998</v>
      </c>
      <c r="R190" s="44">
        <f t="shared" ref="R190:W190" si="37">+R189+R186</f>
        <v>241077291.44</v>
      </c>
      <c r="S190" s="44">
        <f t="shared" si="37"/>
        <v>0</v>
      </c>
      <c r="T190" s="44">
        <f t="shared" si="37"/>
        <v>42543050.960000001</v>
      </c>
      <c r="U190" s="44">
        <f t="shared" si="37"/>
        <v>3169600.4699999997</v>
      </c>
      <c r="V190" s="44">
        <f t="shared" si="37"/>
        <v>0</v>
      </c>
      <c r="W190" s="44">
        <f t="shared" si="37"/>
        <v>286789942.87</v>
      </c>
      <c r="X190" s="44"/>
      <c r="Y190" s="44">
        <f t="shared" ref="Y190:Z190" si="38">+Y189+Y186</f>
        <v>166268028.68000001</v>
      </c>
      <c r="Z190" s="44">
        <f t="shared" si="38"/>
        <v>29341416.809999999</v>
      </c>
      <c r="AA190" s="12"/>
      <c r="AB190" s="12"/>
      <c r="AC190" s="12"/>
    </row>
    <row r="191" spans="2:29" s="8" customFormat="1" ht="16.5" customHeight="1" x14ac:dyDescent="0.25">
      <c r="B191" s="73"/>
      <c r="C191" s="103" t="s">
        <v>674</v>
      </c>
      <c r="D191" s="29"/>
      <c r="E191" s="29"/>
      <c r="F191" s="188"/>
      <c r="G191" s="189"/>
      <c r="H191" s="103"/>
      <c r="I191" s="103"/>
      <c r="J191" s="188"/>
      <c r="K191" s="188"/>
      <c r="L191" s="103"/>
      <c r="M191" s="103"/>
      <c r="N191" s="103"/>
      <c r="O191" s="188"/>
      <c r="P191" s="188"/>
      <c r="Q191" s="188"/>
      <c r="R191" s="188"/>
      <c r="S191" s="188"/>
      <c r="T191" s="188"/>
      <c r="U191" s="188"/>
      <c r="V191" s="188"/>
      <c r="W191" s="188"/>
      <c r="X191" s="103"/>
      <c r="Y191" s="188"/>
      <c r="Z191" s="188"/>
      <c r="AA191" s="12"/>
      <c r="AB191" s="12"/>
      <c r="AC191" s="12"/>
    </row>
    <row r="192" spans="2:29" s="8" customFormat="1" ht="115.5" customHeight="1" x14ac:dyDescent="0.25">
      <c r="B192" s="79">
        <f>+B188+1</f>
        <v>156</v>
      </c>
      <c r="C192" s="183" t="s">
        <v>678</v>
      </c>
      <c r="D192" s="192" t="s">
        <v>676</v>
      </c>
      <c r="E192" s="7">
        <v>105731</v>
      </c>
      <c r="F192" s="185" t="s">
        <v>677</v>
      </c>
      <c r="G192" s="134" t="s">
        <v>701</v>
      </c>
      <c r="H192" s="101">
        <v>43101</v>
      </c>
      <c r="I192" s="101">
        <v>44196</v>
      </c>
      <c r="J192" s="192"/>
      <c r="K192" s="249" t="s">
        <v>728</v>
      </c>
      <c r="L192" s="10" t="s">
        <v>501</v>
      </c>
      <c r="M192" s="10" t="s">
        <v>502</v>
      </c>
      <c r="N192" s="10" t="s">
        <v>502</v>
      </c>
      <c r="O192" s="187" t="s">
        <v>253</v>
      </c>
      <c r="P192" s="170" t="s">
        <v>673</v>
      </c>
      <c r="Q192" s="63">
        <f>+R192+S192+T192</f>
        <v>12804627.049999999</v>
      </c>
      <c r="R192" s="61">
        <v>10013218.35</v>
      </c>
      <c r="S192" s="61">
        <v>1767038.53</v>
      </c>
      <c r="T192" s="61">
        <v>1024370.17</v>
      </c>
      <c r="U192" s="61">
        <v>3571212.34</v>
      </c>
      <c r="V192" s="61">
        <v>0</v>
      </c>
      <c r="W192" s="61">
        <f>+R192+S192+T192+U192+V192</f>
        <v>16375839.389999999</v>
      </c>
      <c r="X192" s="68" t="s">
        <v>254</v>
      </c>
      <c r="Y192" s="41">
        <v>0</v>
      </c>
      <c r="Z192" s="41">
        <v>0</v>
      </c>
      <c r="AA192" s="12"/>
      <c r="AB192" s="12"/>
      <c r="AC192" s="12"/>
    </row>
    <row r="193" spans="2:29" s="8" customFormat="1" ht="16.5" customHeight="1" x14ac:dyDescent="0.25">
      <c r="B193" s="190"/>
      <c r="C193" s="107" t="s">
        <v>675</v>
      </c>
      <c r="D193" s="191"/>
      <c r="E193" s="190"/>
      <c r="F193" s="107"/>
      <c r="G193" s="107"/>
      <c r="H193" s="107"/>
      <c r="I193" s="107"/>
      <c r="J193" s="107"/>
      <c r="K193" s="107"/>
      <c r="L193" s="107"/>
      <c r="M193" s="107"/>
      <c r="N193" s="107"/>
      <c r="O193" s="107"/>
      <c r="P193" s="107"/>
      <c r="Q193" s="107">
        <f>+Q192</f>
        <v>12804627.049999999</v>
      </c>
      <c r="R193" s="107">
        <f>+R192</f>
        <v>10013218.35</v>
      </c>
      <c r="S193" s="107">
        <f t="shared" ref="S193:W193" si="39">+S192</f>
        <v>1767038.53</v>
      </c>
      <c r="T193" s="107">
        <f t="shared" si="39"/>
        <v>1024370.17</v>
      </c>
      <c r="U193" s="107">
        <f t="shared" si="39"/>
        <v>3571212.34</v>
      </c>
      <c r="V193" s="107">
        <f t="shared" si="39"/>
        <v>0</v>
      </c>
      <c r="W193" s="107">
        <f t="shared" si="39"/>
        <v>16375839.389999999</v>
      </c>
      <c r="X193" s="107"/>
      <c r="Y193" s="107"/>
      <c r="Z193" s="107"/>
      <c r="AA193" s="12"/>
      <c r="AB193" s="12"/>
      <c r="AC193" s="12"/>
    </row>
    <row r="194" spans="2:29" s="8" customFormat="1" ht="131.25" customHeight="1" x14ac:dyDescent="0.25">
      <c r="B194" s="170">
        <f>+B192+1</f>
        <v>157</v>
      </c>
      <c r="C194" s="162" t="str">
        <f>'[2]plati efectuate'!$B$45</f>
        <v>AP 6, OS 6.2. Monitorizarea consumului energie pentru consumatori industriali</v>
      </c>
      <c r="D194" s="7" t="s">
        <v>648</v>
      </c>
      <c r="E194" s="171">
        <v>106965</v>
      </c>
      <c r="F194" s="170" t="s">
        <v>649</v>
      </c>
      <c r="G194" s="170" t="s">
        <v>672</v>
      </c>
      <c r="H194" s="170" t="s">
        <v>653</v>
      </c>
      <c r="I194" s="161">
        <v>43189</v>
      </c>
      <c r="J194" s="96">
        <v>0.85</v>
      </c>
      <c r="K194" s="248" t="s">
        <v>728</v>
      </c>
      <c r="L194" s="159" t="s">
        <v>495</v>
      </c>
      <c r="M194" s="159" t="s">
        <v>537</v>
      </c>
      <c r="N194" s="158"/>
      <c r="O194" s="158" t="s">
        <v>253</v>
      </c>
      <c r="P194" s="170" t="s">
        <v>673</v>
      </c>
      <c r="Q194" s="63">
        <f t="shared" si="33"/>
        <v>889820</v>
      </c>
      <c r="R194" s="160">
        <v>756347</v>
      </c>
      <c r="S194" s="160">
        <v>133473</v>
      </c>
      <c r="T194" s="160">
        <v>0</v>
      </c>
      <c r="U194" s="160">
        <v>169065.8</v>
      </c>
      <c r="V194" s="160">
        <v>0</v>
      </c>
      <c r="W194" s="61">
        <f>+R194+S194+T194+U194+V194</f>
        <v>1058885.8</v>
      </c>
      <c r="X194" s="68" t="s">
        <v>254</v>
      </c>
      <c r="Y194" s="41">
        <v>0</v>
      </c>
      <c r="Z194" s="41">
        <v>0</v>
      </c>
      <c r="AA194" s="12"/>
      <c r="AB194" s="12"/>
      <c r="AC194" s="12"/>
    </row>
    <row r="195" spans="2:29" s="8" customFormat="1" ht="143.25" customHeight="1" x14ac:dyDescent="0.25">
      <c r="B195" s="170">
        <f>+B194+1</f>
        <v>158</v>
      </c>
      <c r="C195" s="162" t="str">
        <f>'[2]plati efectuate'!$B$45</f>
        <v>AP 6, OS 6.2. Monitorizarea consumului energie pentru consumatori industriali</v>
      </c>
      <c r="D195" s="7" t="s">
        <v>651</v>
      </c>
      <c r="E195" s="171">
        <v>109717</v>
      </c>
      <c r="F195" s="172" t="s">
        <v>652</v>
      </c>
      <c r="G195" s="170" t="s">
        <v>698</v>
      </c>
      <c r="H195" s="173" t="s">
        <v>654</v>
      </c>
      <c r="I195" s="161">
        <v>43455</v>
      </c>
      <c r="J195" s="96">
        <v>0.85</v>
      </c>
      <c r="K195" s="248" t="s">
        <v>728</v>
      </c>
      <c r="L195" s="159" t="s">
        <v>501</v>
      </c>
      <c r="M195" s="159" t="s">
        <v>502</v>
      </c>
      <c r="N195" s="159" t="s">
        <v>502</v>
      </c>
      <c r="O195" s="159" t="s">
        <v>253</v>
      </c>
      <c r="P195" s="170" t="s">
        <v>673</v>
      </c>
      <c r="Q195" s="63">
        <f t="shared" si="33"/>
        <v>1080805.28</v>
      </c>
      <c r="R195" s="160">
        <v>771375</v>
      </c>
      <c r="S195" s="160">
        <v>136125</v>
      </c>
      <c r="T195" s="160">
        <v>173305.28</v>
      </c>
      <c r="U195" s="193">
        <v>205353.02</v>
      </c>
      <c r="V195" s="160">
        <v>0</v>
      </c>
      <c r="W195" s="61">
        <f>+R195+S195+T195+U195+V195</f>
        <v>1286158.3</v>
      </c>
      <c r="X195" s="68" t="s">
        <v>254</v>
      </c>
      <c r="Y195" s="41">
        <v>0</v>
      </c>
      <c r="Z195" s="41">
        <v>0</v>
      </c>
      <c r="AA195" s="12"/>
      <c r="AB195" s="12"/>
      <c r="AC195" s="12"/>
    </row>
    <row r="196" spans="2:29" s="8" customFormat="1" ht="131.25" customHeight="1" x14ac:dyDescent="0.25">
      <c r="B196" s="170">
        <f>+B195+1</f>
        <v>159</v>
      </c>
      <c r="C196" s="200" t="str">
        <f>'[2]plati efectuate'!$B$45</f>
        <v>AP 6, OS 6.2. Monitorizarea consumului energie pentru consumatori industriali</v>
      </c>
      <c r="D196" s="7" t="s">
        <v>685</v>
      </c>
      <c r="E196" s="171">
        <v>105740</v>
      </c>
      <c r="F196" s="172" t="s">
        <v>686</v>
      </c>
      <c r="G196" s="170" t="s">
        <v>702</v>
      </c>
      <c r="H196" s="173" t="s">
        <v>703</v>
      </c>
      <c r="I196" s="173">
        <v>43373</v>
      </c>
      <c r="J196" s="96">
        <v>0.85</v>
      </c>
      <c r="K196" s="248" t="s">
        <v>728</v>
      </c>
      <c r="L196" s="187" t="s">
        <v>486</v>
      </c>
      <c r="M196" s="187" t="s">
        <v>547</v>
      </c>
      <c r="N196" s="187"/>
      <c r="O196" s="187"/>
      <c r="P196" s="170" t="s">
        <v>673</v>
      </c>
      <c r="Q196" s="63">
        <f>+R196+S196+T196</f>
        <v>983929.32000000007</v>
      </c>
      <c r="R196" s="160">
        <v>756075</v>
      </c>
      <c r="S196" s="160">
        <v>133425</v>
      </c>
      <c r="T196" s="160">
        <v>94429.32</v>
      </c>
      <c r="U196" s="186">
        <v>179458.7</v>
      </c>
      <c r="V196" s="160">
        <v>0</v>
      </c>
      <c r="W196" s="61">
        <f>+R196+S196+T196+U196+V196</f>
        <v>1163388.02</v>
      </c>
      <c r="X196" s="68" t="s">
        <v>254</v>
      </c>
      <c r="Y196" s="41">
        <v>0</v>
      </c>
      <c r="Z196" s="41">
        <v>0</v>
      </c>
      <c r="AA196" s="12"/>
      <c r="AB196" s="12"/>
      <c r="AC196" s="12"/>
    </row>
    <row r="197" spans="2:29" s="8" customFormat="1" ht="16.5" customHeight="1" x14ac:dyDescent="0.25">
      <c r="B197" s="89"/>
      <c r="C197" s="31" t="s">
        <v>650</v>
      </c>
      <c r="D197" s="33"/>
      <c r="E197" s="33"/>
      <c r="F197" s="89"/>
      <c r="G197" s="31"/>
      <c r="H197" s="31"/>
      <c r="I197" s="31"/>
      <c r="J197" s="31"/>
      <c r="K197" s="31"/>
      <c r="L197" s="31"/>
      <c r="M197" s="31"/>
      <c r="N197" s="31"/>
      <c r="O197" s="31"/>
      <c r="P197" s="31"/>
      <c r="Q197" s="107">
        <f>SUM(Q194:Q196)</f>
        <v>2954554.6</v>
      </c>
      <c r="R197" s="199">
        <f>SUM(R194:R196)</f>
        <v>2283797</v>
      </c>
      <c r="S197" s="199">
        <f t="shared" ref="S197:W197" si="40">SUM(S194:S196)</f>
        <v>403023</v>
      </c>
      <c r="T197" s="199">
        <f t="shared" si="40"/>
        <v>267734.59999999998</v>
      </c>
      <c r="U197" s="43">
        <f t="shared" si="40"/>
        <v>553877.52</v>
      </c>
      <c r="V197" s="43">
        <f t="shared" si="40"/>
        <v>0</v>
      </c>
      <c r="W197" s="43">
        <f t="shared" si="40"/>
        <v>3508432.12</v>
      </c>
      <c r="X197" s="43" t="s">
        <v>254</v>
      </c>
      <c r="Y197" s="43">
        <f>SUM(Y194:Y195)</f>
        <v>0</v>
      </c>
      <c r="Z197" s="43">
        <f>SUM(Z194:Z195)</f>
        <v>0</v>
      </c>
      <c r="AA197" s="12"/>
      <c r="AB197" s="12"/>
      <c r="AC197" s="12"/>
    </row>
    <row r="198" spans="2:29" s="8" customFormat="1" ht="16.5" customHeight="1" x14ac:dyDescent="0.25">
      <c r="B198" s="80"/>
      <c r="C198" s="32" t="s">
        <v>690</v>
      </c>
      <c r="D198" s="32"/>
      <c r="E198" s="32"/>
      <c r="F198" s="32"/>
      <c r="G198" s="32"/>
      <c r="H198" s="32"/>
      <c r="I198" s="32"/>
      <c r="J198" s="32"/>
      <c r="K198" s="32"/>
      <c r="L198" s="32"/>
      <c r="M198" s="32"/>
      <c r="N198" s="32"/>
      <c r="O198" s="32"/>
      <c r="P198" s="32"/>
      <c r="Q198" s="198">
        <f>+Q197+Q193</f>
        <v>15759181.649999999</v>
      </c>
      <c r="R198" s="198">
        <f>+R197+R193</f>
        <v>12297015.35</v>
      </c>
      <c r="S198" s="198">
        <f t="shared" ref="S198:W198" si="41">+S197+S193</f>
        <v>2170061.5300000003</v>
      </c>
      <c r="T198" s="198">
        <f t="shared" si="41"/>
        <v>1292104.77</v>
      </c>
      <c r="U198" s="44">
        <f t="shared" si="41"/>
        <v>4125089.86</v>
      </c>
      <c r="V198" s="194">
        <f t="shared" si="41"/>
        <v>0</v>
      </c>
      <c r="W198" s="44">
        <f t="shared" si="41"/>
        <v>19884271.509999998</v>
      </c>
      <c r="X198" s="32"/>
      <c r="Y198" s="32"/>
      <c r="Z198" s="32"/>
      <c r="AA198" s="12"/>
      <c r="AB198" s="12"/>
      <c r="AC198" s="12"/>
    </row>
    <row r="199" spans="2:29" s="8" customFormat="1" ht="235.5" customHeight="1" x14ac:dyDescent="0.25">
      <c r="B199" s="79">
        <f>+B196+1</f>
        <v>160</v>
      </c>
      <c r="C199" s="245" t="s">
        <v>610</v>
      </c>
      <c r="D199" s="7" t="s">
        <v>66</v>
      </c>
      <c r="E199" s="7">
        <v>108460</v>
      </c>
      <c r="F199" s="114" t="s">
        <v>100</v>
      </c>
      <c r="G199" s="120" t="s">
        <v>272</v>
      </c>
      <c r="H199" s="10" t="s">
        <v>273</v>
      </c>
      <c r="I199" s="10" t="s">
        <v>274</v>
      </c>
      <c r="J199" s="96">
        <v>0.85</v>
      </c>
      <c r="K199" s="96" t="s">
        <v>728</v>
      </c>
      <c r="L199" s="10" t="s">
        <v>491</v>
      </c>
      <c r="M199" s="10" t="s">
        <v>492</v>
      </c>
      <c r="N199" s="10"/>
      <c r="O199" s="94" t="s">
        <v>251</v>
      </c>
      <c r="P199" s="10" t="s">
        <v>605</v>
      </c>
      <c r="Q199" s="63">
        <f t="shared" si="33"/>
        <v>100008356.59999999</v>
      </c>
      <c r="R199" s="61">
        <v>85007103.109999999</v>
      </c>
      <c r="S199" s="61">
        <v>13001086.35</v>
      </c>
      <c r="T199" s="61">
        <v>2000167.14</v>
      </c>
      <c r="U199" s="61">
        <v>18826652.710000001</v>
      </c>
      <c r="V199" s="61">
        <v>0</v>
      </c>
      <c r="W199" s="61">
        <f>+R199+S199+T199+U199+V199</f>
        <v>118835009.31</v>
      </c>
      <c r="X199" s="68" t="s">
        <v>254</v>
      </c>
      <c r="Y199" s="41">
        <v>67086742.980000004</v>
      </c>
      <c r="Z199" s="41">
        <v>10260325.390000002</v>
      </c>
      <c r="AA199" s="12"/>
      <c r="AB199" s="12"/>
    </row>
    <row r="200" spans="2:29" s="8" customFormat="1" ht="106.5" customHeight="1" x14ac:dyDescent="0.25">
      <c r="B200" s="79">
        <f>+B199+1</f>
        <v>161</v>
      </c>
      <c r="C200" s="244"/>
      <c r="D200" s="7" t="s">
        <v>238</v>
      </c>
      <c r="E200" s="7">
        <v>115253</v>
      </c>
      <c r="F200" s="114" t="s">
        <v>239</v>
      </c>
      <c r="G200" s="134" t="s">
        <v>275</v>
      </c>
      <c r="H200" s="97">
        <v>43011</v>
      </c>
      <c r="I200" s="97">
        <v>43646</v>
      </c>
      <c r="J200" s="96">
        <v>0.85</v>
      </c>
      <c r="K200" s="248" t="s">
        <v>728</v>
      </c>
      <c r="L200" s="115" t="s">
        <v>568</v>
      </c>
      <c r="M200" s="115" t="s">
        <v>502</v>
      </c>
      <c r="N200" s="115"/>
      <c r="O200" s="94" t="s">
        <v>251</v>
      </c>
      <c r="P200" s="115" t="s">
        <v>605</v>
      </c>
      <c r="Q200" s="69">
        <f t="shared" si="33"/>
        <v>73153838.870000005</v>
      </c>
      <c r="R200" s="63">
        <v>62180763</v>
      </c>
      <c r="S200" s="64">
        <v>9509999.0899999999</v>
      </c>
      <c r="T200" s="64">
        <v>1463076.78</v>
      </c>
      <c r="U200" s="64">
        <v>13536104.630000001</v>
      </c>
      <c r="V200" s="64">
        <v>0</v>
      </c>
      <c r="W200" s="61">
        <f>+R200+S200+T200+U200+V200</f>
        <v>86689943.5</v>
      </c>
      <c r="X200" s="68" t="s">
        <v>254</v>
      </c>
      <c r="Y200" s="41">
        <v>6150810.0199999996</v>
      </c>
      <c r="Z200" s="41">
        <v>940712.11999999988</v>
      </c>
      <c r="AA200" s="12"/>
      <c r="AB200" s="12"/>
      <c r="AC200" s="12"/>
    </row>
    <row r="201" spans="2:29" s="8" customFormat="1" ht="18.75" customHeight="1" x14ac:dyDescent="0.25">
      <c r="B201" s="89"/>
      <c r="C201" s="31" t="s">
        <v>67</v>
      </c>
      <c r="D201" s="33"/>
      <c r="E201" s="33"/>
      <c r="F201" s="33"/>
      <c r="G201" s="132"/>
      <c r="H201" s="33"/>
      <c r="I201" s="33"/>
      <c r="J201" s="33"/>
      <c r="K201" s="33"/>
      <c r="L201" s="33"/>
      <c r="M201" s="33"/>
      <c r="N201" s="33"/>
      <c r="O201" s="33"/>
      <c r="P201" s="33"/>
      <c r="Q201" s="43">
        <f>SUM(Q199:Q200)</f>
        <v>173162195.47</v>
      </c>
      <c r="R201" s="43">
        <f>SUM(R199:R200)</f>
        <v>147187866.11000001</v>
      </c>
      <c r="S201" s="43">
        <f t="shared" ref="S201:W201" si="42">SUM(S199:S200)</f>
        <v>22511085.439999998</v>
      </c>
      <c r="T201" s="43">
        <f t="shared" si="42"/>
        <v>3463243.92</v>
      </c>
      <c r="U201" s="43">
        <f t="shared" si="42"/>
        <v>32362757.340000004</v>
      </c>
      <c r="V201" s="43">
        <f t="shared" si="42"/>
        <v>0</v>
      </c>
      <c r="W201" s="66">
        <f t="shared" si="42"/>
        <v>205524952.81</v>
      </c>
      <c r="X201" s="66"/>
      <c r="Y201" s="43">
        <v>0</v>
      </c>
      <c r="Z201" s="78">
        <v>0</v>
      </c>
      <c r="AA201" s="12"/>
      <c r="AB201" s="12"/>
      <c r="AC201" s="12"/>
    </row>
    <row r="202" spans="2:29" s="8" customFormat="1" ht="18.75" customHeight="1" x14ac:dyDescent="0.25">
      <c r="B202" s="80"/>
      <c r="C202" s="32" t="s">
        <v>72</v>
      </c>
      <c r="D202" s="32"/>
      <c r="E202" s="32"/>
      <c r="F202" s="32"/>
      <c r="G202" s="123"/>
      <c r="H202" s="32"/>
      <c r="I202" s="32"/>
      <c r="J202" s="32"/>
      <c r="K202" s="32"/>
      <c r="L202" s="32"/>
      <c r="M202" s="32"/>
      <c r="N202" s="32"/>
      <c r="O202" s="32"/>
      <c r="P202" s="32"/>
      <c r="Q202" s="62">
        <f>+Q201</f>
        <v>173162195.47</v>
      </c>
      <c r="R202" s="44">
        <f>R201</f>
        <v>147187866.11000001</v>
      </c>
      <c r="S202" s="44">
        <f t="shared" ref="S202:W202" si="43">S201</f>
        <v>22511085.439999998</v>
      </c>
      <c r="T202" s="44">
        <f t="shared" si="43"/>
        <v>3463243.92</v>
      </c>
      <c r="U202" s="44">
        <f t="shared" si="43"/>
        <v>32362757.340000004</v>
      </c>
      <c r="V202" s="44">
        <f t="shared" si="43"/>
        <v>0</v>
      </c>
      <c r="W202" s="44">
        <f t="shared" si="43"/>
        <v>205524952.81</v>
      </c>
      <c r="X202" s="44"/>
      <c r="Y202" s="44">
        <f>+Y200+Y199</f>
        <v>73237553</v>
      </c>
      <c r="Z202" s="44">
        <f>+Z200+Z199</f>
        <v>11201037.510000002</v>
      </c>
      <c r="AA202" s="12"/>
      <c r="AB202" s="12"/>
      <c r="AC202" s="12"/>
    </row>
    <row r="203" spans="2:29" s="1" customFormat="1" ht="24" customHeight="1" thickBot="1" x14ac:dyDescent="0.3">
      <c r="B203" s="90"/>
      <c r="C203" s="22" t="s">
        <v>0</v>
      </c>
      <c r="D203" s="23"/>
      <c r="E203" s="23"/>
      <c r="F203" s="23"/>
      <c r="G203" s="153"/>
      <c r="H203" s="23"/>
      <c r="I203" s="23"/>
      <c r="J203" s="23"/>
      <c r="K203" s="23"/>
      <c r="L203" s="23"/>
      <c r="M203" s="23"/>
      <c r="N203" s="23"/>
      <c r="O203" s="23"/>
      <c r="P203" s="23"/>
      <c r="Q203" s="47">
        <f>+R203+S203+T203</f>
        <v>27559216847.132401</v>
      </c>
      <c r="R203" s="47">
        <f>+R27+R56+R143+R182+R190+R198+R202</f>
        <v>21522774148.9935</v>
      </c>
      <c r="S203" s="47">
        <f t="shared" ref="S203:W203" si="44">+S27+S56+S143+S182+S190+S198+S202</f>
        <v>1085419768.8268001</v>
      </c>
      <c r="T203" s="47">
        <f t="shared" si="44"/>
        <v>4951022929.3121004</v>
      </c>
      <c r="U203" s="47">
        <f t="shared" si="44"/>
        <v>5904309121.0500011</v>
      </c>
      <c r="V203" s="47">
        <f t="shared" si="44"/>
        <v>1441860666.1600001</v>
      </c>
      <c r="W203" s="47">
        <f t="shared" si="44"/>
        <v>34919019756.972404</v>
      </c>
      <c r="X203" s="47"/>
      <c r="Y203" s="47">
        <f>+Y27+Y56+Y143+Y182+Y190+Y202</f>
        <v>4567810274.9300003</v>
      </c>
      <c r="Z203" s="47">
        <f>+Z27+Z56+Z143+Z182+Z190+Z202</f>
        <v>1333146670.6299996</v>
      </c>
      <c r="AA203" s="12"/>
      <c r="AB203" s="12"/>
      <c r="AC203" s="12"/>
    </row>
    <row r="204" spans="2:29" x14ac:dyDescent="0.25">
      <c r="B204" s="9"/>
      <c r="C204" s="9"/>
      <c r="D204" s="9"/>
      <c r="E204" s="34"/>
      <c r="F204" s="34"/>
      <c r="G204" s="34"/>
      <c r="H204" s="34"/>
      <c r="I204" s="34"/>
      <c r="J204" s="34"/>
      <c r="K204" s="34"/>
      <c r="L204" s="34"/>
      <c r="M204" s="34"/>
      <c r="N204" s="34"/>
      <c r="O204" s="34"/>
      <c r="P204" s="34"/>
      <c r="Q204" s="52"/>
      <c r="R204" s="52"/>
      <c r="S204" s="52"/>
      <c r="T204" s="17"/>
      <c r="U204" s="9"/>
      <c r="V204" s="9"/>
      <c r="W204" s="9"/>
      <c r="X204" s="9"/>
      <c r="Y204" s="17"/>
      <c r="Z204" s="9"/>
      <c r="AA204" s="12"/>
      <c r="AB204" s="12"/>
      <c r="AC204" s="12"/>
    </row>
    <row r="205" spans="2:29" x14ac:dyDescent="0.25">
      <c r="B205" s="9"/>
      <c r="C205" s="8"/>
      <c r="D205" s="3"/>
      <c r="F205" s="3"/>
      <c r="G205" s="3"/>
      <c r="H205" s="3"/>
      <c r="I205" s="3"/>
      <c r="J205" s="3"/>
      <c r="K205" s="3"/>
      <c r="L205" s="3"/>
      <c r="M205" s="3"/>
      <c r="N205" s="3"/>
      <c r="O205" s="3"/>
      <c r="P205" s="3"/>
      <c r="Q205" s="56"/>
      <c r="R205" s="54" t="e">
        <f>+R203/F7</f>
        <v>#DIV/0!</v>
      </c>
      <c r="S205" s="71"/>
      <c r="T205" s="51" t="e">
        <f>+S205/F7</f>
        <v>#DIV/0!</v>
      </c>
      <c r="U205" s="9"/>
      <c r="V205" s="25"/>
      <c r="W205" s="9"/>
      <c r="X205" s="9"/>
      <c r="Y205" s="57"/>
      <c r="Z205" s="57"/>
      <c r="AA205" s="12"/>
      <c r="AB205" s="12"/>
      <c r="AC205" s="12"/>
    </row>
    <row r="206" spans="2:29" x14ac:dyDescent="0.25">
      <c r="B206" s="9"/>
      <c r="C206" s="8"/>
      <c r="D206" s="3"/>
      <c r="F206" s="3"/>
      <c r="G206" s="3"/>
      <c r="H206" s="3"/>
      <c r="I206" s="3"/>
      <c r="J206" s="3"/>
      <c r="K206" s="3"/>
      <c r="L206" s="3"/>
      <c r="M206" s="3"/>
      <c r="N206" s="3"/>
      <c r="O206" s="3"/>
      <c r="P206" s="3"/>
      <c r="Q206" s="179"/>
      <c r="R206" s="180"/>
      <c r="S206" s="72"/>
      <c r="T206" s="55">
        <f>+S207-S205</f>
        <v>0</v>
      </c>
      <c r="U206" s="9"/>
      <c r="V206" s="25"/>
      <c r="W206" s="8"/>
      <c r="Y206" s="91"/>
      <c r="Z206" s="8"/>
      <c r="AA206" s="12"/>
      <c r="AB206" s="12"/>
      <c r="AC206" s="12"/>
    </row>
    <row r="207" spans="2:29" x14ac:dyDescent="0.25">
      <c r="C207" s="8"/>
      <c r="D207" s="3"/>
      <c r="F207" s="3"/>
      <c r="G207" s="3"/>
      <c r="H207" s="3"/>
      <c r="I207" s="3"/>
      <c r="J207" s="3"/>
      <c r="K207" s="3"/>
      <c r="L207" s="3"/>
      <c r="M207" s="3"/>
      <c r="N207" s="3"/>
      <c r="O207" s="3"/>
      <c r="P207" s="3"/>
      <c r="Q207" s="174"/>
      <c r="R207" s="174"/>
      <c r="S207" s="175"/>
      <c r="T207" s="176"/>
      <c r="U207" s="8"/>
      <c r="V207" s="16"/>
      <c r="W207" s="8"/>
      <c r="Y207" s="177"/>
      <c r="Z207" s="177"/>
      <c r="AA207" s="12"/>
      <c r="AB207" s="12"/>
      <c r="AC207" s="12"/>
    </row>
    <row r="208" spans="2:29" x14ac:dyDescent="0.25">
      <c r="C208" s="8"/>
      <c r="D208" s="3"/>
      <c r="F208" s="3"/>
      <c r="G208" s="3"/>
      <c r="H208" s="3"/>
      <c r="I208" s="3"/>
      <c r="J208" s="3"/>
      <c r="K208" s="3"/>
      <c r="L208" s="3"/>
      <c r="M208" s="3"/>
      <c r="N208" s="3"/>
      <c r="O208" s="3"/>
      <c r="P208" s="3"/>
      <c r="Q208" s="156"/>
      <c r="R208" s="3"/>
      <c r="S208" s="3"/>
      <c r="T208" s="3"/>
      <c r="U208" s="8"/>
      <c r="V208" s="16"/>
      <c r="W208" s="8"/>
      <c r="Y208" s="176"/>
      <c r="Z208" s="8"/>
      <c r="AA208" s="12"/>
      <c r="AB208" s="12"/>
      <c r="AC208" s="12"/>
    </row>
    <row r="209" spans="3:29" x14ac:dyDescent="0.25">
      <c r="C209" s="8"/>
      <c r="D209" s="3"/>
      <c r="F209" s="3"/>
      <c r="G209" s="3"/>
      <c r="H209" s="3"/>
      <c r="I209" s="3"/>
      <c r="J209" s="3"/>
      <c r="K209" s="3"/>
      <c r="L209" s="3"/>
      <c r="M209" s="3"/>
      <c r="N209" s="3"/>
      <c r="O209" s="3"/>
      <c r="P209" s="3"/>
      <c r="R209" s="3"/>
      <c r="S209" s="3"/>
      <c r="T209" s="3"/>
      <c r="U209" s="12"/>
      <c r="V209" s="16"/>
      <c r="W209" s="8"/>
      <c r="Y209" s="203">
        <v>4567810274.9300003</v>
      </c>
      <c r="Z209" s="156"/>
      <c r="AA209" s="12"/>
      <c r="AB209" s="12"/>
      <c r="AC209" s="12"/>
    </row>
    <row r="210" spans="3:29" x14ac:dyDescent="0.25">
      <c r="C210" s="8"/>
      <c r="D210" s="3"/>
      <c r="F210" s="3"/>
      <c r="G210" s="3"/>
      <c r="H210" s="3"/>
      <c r="I210" s="3"/>
      <c r="J210" s="3"/>
      <c r="K210" s="3"/>
      <c r="L210" s="3"/>
      <c r="M210" s="3"/>
      <c r="N210" s="3"/>
      <c r="O210" s="3"/>
      <c r="P210" s="3"/>
      <c r="Q210" s="156"/>
      <c r="R210" s="3"/>
      <c r="S210" s="3"/>
      <c r="T210" s="3"/>
      <c r="U210" s="12"/>
      <c r="V210" s="8"/>
      <c r="W210" s="8"/>
      <c r="Y210" s="8"/>
      <c r="Z210" s="8"/>
      <c r="AA210" s="12"/>
      <c r="AB210" s="12"/>
      <c r="AC210" s="12"/>
    </row>
    <row r="211" spans="3:29" x14ac:dyDescent="0.25">
      <c r="C211" s="8"/>
      <c r="D211" s="3"/>
      <c r="F211" s="3" t="s">
        <v>248</v>
      </c>
      <c r="G211" s="3"/>
      <c r="H211" s="3"/>
      <c r="I211" s="3"/>
      <c r="J211" s="3"/>
      <c r="K211" s="3"/>
      <c r="L211" s="3"/>
      <c r="M211" s="3"/>
      <c r="N211" s="3"/>
      <c r="O211" s="3"/>
      <c r="P211" s="3"/>
      <c r="R211" s="3"/>
      <c r="S211" s="3"/>
      <c r="T211" s="3"/>
      <c r="U211" s="12"/>
      <c r="V211" s="8"/>
      <c r="W211" s="8"/>
      <c r="Y211" s="11"/>
      <c r="Z211" s="11"/>
      <c r="AA211" s="12"/>
      <c r="AB211" s="12"/>
      <c r="AC211" s="12"/>
    </row>
    <row r="212" spans="3:29" x14ac:dyDescent="0.25">
      <c r="C212" s="8"/>
      <c r="D212" s="3"/>
      <c r="F212" s="3"/>
      <c r="G212" s="3"/>
      <c r="H212" s="3"/>
      <c r="I212" s="3"/>
      <c r="J212" s="3"/>
      <c r="K212" s="3"/>
      <c r="L212" s="3"/>
      <c r="M212" s="3"/>
      <c r="N212" s="3"/>
      <c r="O212" s="3"/>
      <c r="P212" s="3"/>
      <c r="R212" s="8"/>
      <c r="S212" s="8"/>
      <c r="T212" s="8"/>
      <c r="U212" s="8"/>
      <c r="V212" s="8"/>
      <c r="W212" s="8"/>
      <c r="Y212" s="8"/>
      <c r="Z212" s="8"/>
      <c r="AA212" s="12"/>
      <c r="AB212" s="12"/>
      <c r="AC212" s="12"/>
    </row>
    <row r="213" spans="3:29" x14ac:dyDescent="0.25">
      <c r="C213" s="8"/>
      <c r="D213" s="3"/>
      <c r="F213" s="3"/>
      <c r="G213" s="3"/>
      <c r="H213" s="3"/>
      <c r="I213" s="3"/>
      <c r="J213" s="3"/>
      <c r="K213" s="3"/>
      <c r="L213" s="3"/>
      <c r="M213" s="3"/>
      <c r="N213" s="3"/>
      <c r="O213" s="3"/>
      <c r="P213" s="3"/>
      <c r="R213" s="3"/>
      <c r="S213" s="8"/>
      <c r="T213" s="8"/>
      <c r="U213" s="8"/>
      <c r="V213" s="8"/>
      <c r="W213" s="8"/>
      <c r="Y213" s="8"/>
      <c r="Z213" s="8"/>
      <c r="AA213" s="12"/>
      <c r="AB213" s="12"/>
      <c r="AC213" s="12"/>
    </row>
    <row r="214" spans="3:29" x14ac:dyDescent="0.25">
      <c r="C214" s="8"/>
      <c r="D214" s="3"/>
      <c r="F214" s="3"/>
      <c r="G214" s="3"/>
      <c r="H214" s="3"/>
      <c r="I214" s="3"/>
      <c r="J214" s="3"/>
      <c r="K214" s="3"/>
      <c r="L214" s="3"/>
      <c r="M214" s="3"/>
      <c r="N214" s="3"/>
      <c r="O214" s="3"/>
      <c r="P214" s="3"/>
      <c r="R214" s="3"/>
      <c r="S214" s="8"/>
      <c r="T214" s="8"/>
      <c r="U214" s="8"/>
      <c r="V214" s="8"/>
      <c r="W214" s="8"/>
      <c r="Y214" s="8"/>
      <c r="Z214" s="16"/>
      <c r="AA214" s="12"/>
      <c r="AB214" s="12"/>
      <c r="AC214" s="12"/>
    </row>
    <row r="215" spans="3:29" x14ac:dyDescent="0.25">
      <c r="C215" s="8"/>
      <c r="D215" s="3"/>
      <c r="F215" s="3"/>
      <c r="G215" s="3"/>
      <c r="H215" s="3"/>
      <c r="I215" s="3"/>
      <c r="J215" s="3"/>
      <c r="K215" s="3"/>
      <c r="L215" s="3"/>
      <c r="M215" s="3"/>
      <c r="N215" s="3"/>
      <c r="O215" s="3"/>
      <c r="P215" s="3"/>
      <c r="R215" s="3"/>
      <c r="S215" s="12"/>
      <c r="T215" s="12"/>
      <c r="U215" s="12"/>
      <c r="V215" s="8"/>
      <c r="W215" s="8"/>
      <c r="Y215" s="8"/>
      <c r="Z215" s="16"/>
      <c r="AA215" s="12"/>
      <c r="AB215" s="12"/>
      <c r="AC215" s="12"/>
    </row>
    <row r="216" spans="3:29" x14ac:dyDescent="0.25">
      <c r="E216" s="35"/>
      <c r="F216" s="35"/>
      <c r="G216" s="35"/>
      <c r="H216" s="35"/>
      <c r="I216" s="35"/>
      <c r="J216" s="35"/>
      <c r="K216" s="35"/>
      <c r="L216" s="35"/>
      <c r="M216" s="35"/>
      <c r="N216" s="35"/>
      <c r="O216" s="35"/>
      <c r="P216" s="35"/>
      <c r="Q216" s="16"/>
      <c r="R216" s="12"/>
      <c r="S216" s="12"/>
      <c r="T216" s="12"/>
      <c r="U216" s="12"/>
      <c r="V216" s="16"/>
      <c r="W216" s="16"/>
      <c r="X216" s="16"/>
      <c r="Y216" s="25"/>
      <c r="Z216" s="16"/>
      <c r="AA216" s="12"/>
      <c r="AB216" s="12"/>
      <c r="AC216" s="12"/>
    </row>
    <row r="217" spans="3:29" x14ac:dyDescent="0.25">
      <c r="E217" s="35"/>
      <c r="F217" s="35"/>
      <c r="G217" s="35"/>
      <c r="H217" s="35"/>
      <c r="I217" s="35"/>
      <c r="J217" s="35"/>
      <c r="K217" s="35"/>
      <c r="L217" s="35"/>
      <c r="M217" s="35"/>
      <c r="N217" s="35"/>
      <c r="O217" s="35"/>
      <c r="P217" s="35"/>
      <c r="Q217" s="16"/>
      <c r="R217" s="12"/>
      <c r="S217" s="12"/>
      <c r="T217" s="12"/>
      <c r="U217" s="12"/>
      <c r="V217" s="16"/>
      <c r="W217" s="16"/>
      <c r="X217" s="16"/>
      <c r="Y217" s="25"/>
      <c r="Z217" s="16"/>
      <c r="AA217" s="12"/>
      <c r="AB217" s="12"/>
      <c r="AC217" s="12"/>
    </row>
    <row r="218" spans="3:29" x14ac:dyDescent="0.25">
      <c r="E218" s="3"/>
      <c r="F218" s="3"/>
      <c r="G218" s="3"/>
      <c r="H218" s="3"/>
      <c r="I218" s="3"/>
      <c r="J218" s="3"/>
      <c r="K218" s="3"/>
      <c r="L218" s="3"/>
      <c r="M218" s="3"/>
      <c r="N218" s="3"/>
      <c r="O218" s="3"/>
      <c r="P218" s="3"/>
      <c r="Q218" s="16"/>
      <c r="R218" s="8"/>
      <c r="S218" s="8"/>
      <c r="T218" s="8"/>
      <c r="U218" s="8"/>
      <c r="V218" s="16"/>
      <c r="W218" s="16"/>
      <c r="X218" s="16"/>
      <c r="AA218" s="12"/>
      <c r="AB218" s="12"/>
      <c r="AC218" s="12"/>
    </row>
    <row r="219" spans="3:29" x14ac:dyDescent="0.25">
      <c r="E219" s="3"/>
      <c r="F219" s="3"/>
      <c r="G219" s="3"/>
      <c r="H219" s="3"/>
      <c r="I219" s="3"/>
      <c r="J219" s="3"/>
      <c r="K219" s="3"/>
      <c r="L219" s="3"/>
      <c r="M219" s="3"/>
      <c r="N219" s="3"/>
      <c r="O219" s="3"/>
      <c r="P219" s="3"/>
      <c r="Q219" s="16"/>
      <c r="R219" s="8"/>
      <c r="S219" s="8"/>
      <c r="T219" s="8"/>
      <c r="U219" s="8"/>
      <c r="V219" s="16"/>
      <c r="W219" s="16"/>
      <c r="X219" s="16"/>
      <c r="AA219" s="12"/>
      <c r="AB219" s="12"/>
      <c r="AC219" s="12"/>
    </row>
    <row r="220" spans="3:29" x14ac:dyDescent="0.25">
      <c r="S220" s="12"/>
      <c r="AA220" s="12"/>
      <c r="AB220" s="12"/>
      <c r="AC220" s="12"/>
    </row>
    <row r="221" spans="3:29" x14ac:dyDescent="0.25">
      <c r="S221" s="11"/>
    </row>
  </sheetData>
  <customSheetViews>
    <customSheetView guid="{08ABD1B6-502E-42CC-A0EF-58776D0102FE}" showPageBreaks="1">
      <selection activeCell="G5" sqref="G5"/>
      <pageMargins left="0.118110236220472" right="0.118110236220472" top="0.15748031496063" bottom="0.15748031496063" header="0.31496062992126" footer="0.31496062992126"/>
      <pageSetup paperSize="8" scale="37" fitToHeight="0" orientation="landscape" r:id="rId1"/>
    </customSheetView>
    <customSheetView guid="{0E2002C0-88DC-479A-B983-CA340E3274B8}">
      <pane xSplit="3" ySplit="12" topLeftCell="S184" activePane="bottomRight" state="frozen"/>
      <selection pane="bottomRight" activeCell="AB184" sqref="AB184:AC184"/>
      <pageMargins left="0.11811023622047245" right="0.11811023622047245" top="0.15748031496062992" bottom="0.15748031496062992" header="0.31496062992125984" footer="0.31496062992125984"/>
      <pageSetup paperSize="8" scale="50" fitToHeight="0" orientation="landscape" r:id="rId2"/>
    </customSheetView>
    <customSheetView guid="{0F598BC0-9523-4AD3-94A3-BDEC8367FE11}" scale="77" hiddenColumns="1">
      <pane xSplit="2" ySplit="12" topLeftCell="E148" activePane="bottomRight" state="frozen"/>
      <selection pane="bottomRight" activeCell="O152" sqref="O152"/>
      <pageMargins left="0.11811023622047245" right="0.11811023622047245" top="0.15748031496062992" bottom="0.15748031496062992" header="0.31496062992125984" footer="0.31496062992125984"/>
      <pageSetup paperSize="8" scale="50" fitToHeight="0" orientation="landscape" r:id="rId3"/>
    </customSheetView>
    <customSheetView guid="{61C44EA8-4687-4D4E-A1ED-359DF81A71FB}" scale="86" showAutoFilter="1" hiddenColumns="1">
      <pane xSplit="2" ySplit="12" topLeftCell="D145" activePane="bottomRight" state="frozen"/>
      <selection pane="bottomRight" activeCell="K147" sqref="K147"/>
      <pageMargins left="0.11811023622047245" right="0.11811023622047245" top="0.15748031496062992" bottom="0.15748031496062992" header="0.31496062992125984" footer="0.31496062992125984"/>
      <pageSetup paperSize="8" scale="50" fitToHeight="0" orientation="landscape" r:id="rId4"/>
      <autoFilter ref="B7:AD176"/>
    </customSheetView>
    <customSheetView guid="{B8EFA5E8-2E8C-450C-9395-D582737418AA}" hiddenColumns="1">
      <pane xSplit="2" ySplit="12" topLeftCell="Q97" activePane="bottomRight" state="frozen"/>
      <selection pane="bottomRight" activeCell="AA101" sqref="AA101"/>
      <pageMargins left="0.11811023622047245" right="0.11811023622047245" top="0.15748031496062992" bottom="0.15748031496062992" header="0.31496062992125984" footer="0.31496062992125984"/>
      <pageSetup paperSize="8" scale="50" fitToHeight="0" orientation="landscape" r:id="rId5"/>
    </customSheetView>
    <customSheetView guid="{216972B4-771A-4607-A8B4-AC73D5CD6C1A}" scale="86" hiddenColumns="1">
      <pane xSplit="2" ySplit="12" topLeftCell="C82" activePane="bottomRight" state="frozen"/>
      <selection pane="bottomRight" activeCell="L85" sqref="L85"/>
      <pageMargins left="0.11811023622047245" right="0.11811023622047245" top="0.15748031496062992" bottom="0.15748031496062992" header="0.31496062992125984" footer="0.31496062992125984"/>
      <pageSetup paperSize="8" scale="50" fitToHeight="0" orientation="landscape" r:id="rId6"/>
    </customSheetView>
    <customSheetView guid="{64D2264B-4E86-4FBB-93B3-BEE727888DFE}" scale="69" hiddenColumns="1">
      <pane xSplit="2" ySplit="12" topLeftCell="C121" activePane="bottomRight" state="frozen"/>
      <selection pane="bottomRight" activeCell="AA125" sqref="AA125"/>
      <pageMargins left="0.11811023622047245" right="0.11811023622047245" top="0.15748031496062992" bottom="0.15748031496062992" header="0.31496062992125984" footer="0.31496062992125984"/>
      <pageSetup paperSize="8" scale="50" fitToHeight="0" orientation="landscape" r:id="rId7"/>
    </customSheetView>
    <customSheetView guid="{79FA8BE5-7D13-4EF3-B35A-76ACF1C0DF3C}" scale="87" hiddenColumns="1">
      <pane xSplit="2" ySplit="12" topLeftCell="D55" activePane="bottomRight" state="frozen"/>
      <selection pane="bottomRight" activeCell="M61" sqref="M61"/>
      <pageMargins left="0.11811023622047245" right="0.11811023622047245" top="0.15748031496062992" bottom="0.15748031496062992" header="0.31496062992125984" footer="0.31496062992125984"/>
      <pageSetup paperSize="8" scale="50" fitToHeight="0" orientation="landscape" r:id="rId8"/>
    </customSheetView>
    <customSheetView guid="{E1C13DC2-98C2-4597-8D1A-C9F2C3CA60EC}" scale="90" hiddenColumns="1">
      <pane xSplit="2" ySplit="12" topLeftCell="M57" activePane="bottomRight" state="frozen"/>
      <selection pane="bottomRight" activeCell="X58" sqref="X58"/>
      <pageMargins left="0.11811023622047245" right="0.11811023622047245" top="0.15748031496062992" bottom="0.15748031496062992" header="0.31496062992125984" footer="0.31496062992125984"/>
      <pageSetup paperSize="8" scale="50" fitToHeight="0" orientation="landscape" r:id="rId9"/>
    </customSheetView>
    <customSheetView guid="{E10820C0-32CD-441A-8635-65479FE7CBA3}" scale="90" hiddenColumns="1">
      <pane xSplit="2" ySplit="12" topLeftCell="C46" activePane="bottomRight" state="frozen"/>
      <selection pane="bottomRight" activeCell="K47" sqref="K47"/>
      <pageMargins left="0.11811023622047245" right="0.11811023622047245" top="0.15748031496062992" bottom="0.15748031496062992" header="0.31496062992125984" footer="0.31496062992125984"/>
      <pageSetup paperSize="8" scale="50" fitToHeight="0" orientation="landscape" r:id="rId10"/>
    </customSheetView>
    <customSheetView guid="{2234C728-15E1-4BAF-98DE-620726961552}" scale="90" hiddenColumns="1">
      <pane xSplit="2" ySplit="12" topLeftCell="C37" activePane="bottomRight" state="frozen"/>
      <selection pane="bottomRight" activeCell="K42" sqref="K42"/>
      <pageMargins left="0.11811023622047245" right="0.11811023622047245" top="0.15748031496062992" bottom="0.15748031496062992" header="0.31496062992125984" footer="0.31496062992125984"/>
      <pageSetup paperSize="8" scale="50" fitToHeight="0" orientation="landscape" r:id="rId11"/>
    </customSheetView>
    <customSheetView guid="{3EBF2DB4-84D7-478D-9896-C4DA08B65D0C}" scale="86" showAutoFilter="1" hiddenColumns="1">
      <pane xSplit="2" ySplit="12" topLeftCell="C127" activePane="bottomRight" state="frozen"/>
      <selection pane="bottomRight" activeCell="E5" sqref="E5:Z5"/>
      <pageMargins left="0.11811023622047245" right="0.11811023622047245" top="0.15748031496062992" bottom="0.15748031496062992" header="0.31496062992125984" footer="0.31496062992125984"/>
      <pageSetup paperSize="8" scale="50" fitToHeight="0" orientation="landscape" r:id="rId12"/>
      <autoFilter ref="B7:AD176"/>
    </customSheetView>
    <customSheetView guid="{437FD6EF-32B2-4DE0-BA89-93A7E3EF04C5}" scale="115" hiddenColumns="1" topLeftCell="I56">
      <selection activeCell="K37" sqref="K37"/>
      <pageMargins left="0.11811023622047245" right="0.11811023622047245" top="0.15748031496062992" bottom="0.15748031496062992" header="0.31496062992125984" footer="0.31496062992125984"/>
      <pageSetup paperSize="8" scale="50" fitToHeight="0" orientation="landscape" r:id="rId13"/>
    </customSheetView>
    <customSheetView guid="{83337B45-5054-4200-BF9E-4E1DC1896214}" scale="115" hiddenColumns="1">
      <pane xSplit="2" ySplit="12" topLeftCell="C49" activePane="bottomRight" state="frozen"/>
      <selection pane="bottomRight" activeCell="J52" sqref="J52"/>
      <pageMargins left="0.11811023622047245" right="0.11811023622047245" top="0.15748031496062992" bottom="0.15748031496062992" header="0.31496062992125984" footer="0.31496062992125984"/>
      <pageSetup paperSize="8" scale="50" fitToHeight="0" orientation="landscape" r:id="rId14"/>
    </customSheetView>
    <customSheetView guid="{9E851A6A-17B1-4E6F-A007-493445D427B8}" scale="115" hiddenColumns="1">
      <pane xSplit="2" ySplit="12" topLeftCell="C50" activePane="bottomRight" state="frozen"/>
      <selection pane="bottomRight" activeCell="J55" sqref="J55"/>
      <pageMargins left="0.11811023622047245" right="0.11811023622047245" top="0.15748031496062992" bottom="0.15748031496062992" header="0.31496062992125984" footer="0.31496062992125984"/>
      <pageSetup paperSize="8" scale="50" fitToHeight="0" orientation="landscape" r:id="rId15"/>
    </customSheetView>
    <customSheetView guid="{DB90939E-72BD-4CED-BFB6-BD74FF913DB3}" scale="85" hiddenColumns="1">
      <pane xSplit="2" ySplit="12" topLeftCell="E87" activePane="bottomRight" state="frozen"/>
      <selection pane="bottomRight" activeCell="L88" sqref="L88"/>
      <pageMargins left="0.11811023622047245" right="0.11811023622047245" top="0.15748031496062992" bottom="0.15748031496062992" header="0.31496062992125984" footer="0.31496062992125984"/>
      <pageSetup paperSize="8" scale="50" fitToHeight="0" orientation="landscape" r:id="rId16"/>
    </customSheetView>
    <customSheetView guid="{413D6799-9F75-47FF-8A9E-5CB9283B7BBE}" scale="115" hiddenColumns="1">
      <pane xSplit="2" ySplit="12" topLeftCell="C146" activePane="bottomRight" state="frozen"/>
      <selection pane="bottomRight" activeCell="AA146" sqref="AA146"/>
      <pageMargins left="0.11811023622047245" right="0.11811023622047245" top="0.15748031496062992" bottom="0.15748031496062992" header="0.31496062992125984" footer="0.31496062992125984"/>
      <pageSetup paperSize="8" scale="50" fitToHeight="0" orientation="landscape" r:id="rId17"/>
    </customSheetView>
    <customSheetView guid="{E4462EA5-1112-4F42-BE37-A867D6FC853C}" scale="90" hiddenColumns="1">
      <pane xSplit="2" ySplit="12" topLeftCell="E159" activePane="bottomRight" state="frozen"/>
      <selection pane="bottomRight" activeCell="J160" sqref="J160"/>
      <pageMargins left="0.11811023622047245" right="0.11811023622047245" top="0.15748031496062992" bottom="0.15748031496062992" header="0.31496062992125984" footer="0.31496062992125984"/>
      <pageSetup paperSize="8" scale="50" fitToHeight="0" orientation="landscape" r:id="rId18"/>
    </customSheetView>
    <customSheetView guid="{ECCC7D97-A0C3-4C50-BA03-A8D24BCD22BE}" scale="85" hiddenColumns="1">
      <pane xSplit="2" ySplit="11.346153846153847" topLeftCell="C159" activePane="bottomRight" state="frozen"/>
      <selection pane="bottomRight" activeCell="B164" sqref="B164"/>
      <pageMargins left="0.11811023622047245" right="0.11811023622047245" top="0.15748031496062992" bottom="0.15748031496062992" header="0.31496062992125984" footer="0.31496062992125984"/>
      <pageSetup paperSize="8" scale="50" fitToHeight="0" orientation="landscape" r:id="rId19"/>
    </customSheetView>
    <customSheetView guid="{F4C96D22-891C-4B3C-B57B-7878195B2E7E}" scale="80" topLeftCell="A127">
      <selection activeCell="S36" sqref="S36"/>
      <pageMargins left="0.11811023622047245" right="0.11811023622047245" top="0.15748031496062992" bottom="0.15748031496062992" header="0.31496062992125984" footer="0.31496062992125984"/>
      <pageSetup paperSize="8" scale="50" fitToHeight="0" orientation="landscape" r:id="rId20"/>
    </customSheetView>
  </customSheetViews>
  <mergeCells count="39">
    <mergeCell ref="C199:C200"/>
    <mergeCell ref="C187:C188"/>
    <mergeCell ref="C179:C180"/>
    <mergeCell ref="V9:V11"/>
    <mergeCell ref="R9:T9"/>
    <mergeCell ref="C58:C71"/>
    <mergeCell ref="C76:C95"/>
    <mergeCell ref="C173:C175"/>
    <mergeCell ref="C145:C148"/>
    <mergeCell ref="H9:H11"/>
    <mergeCell ref="I9:I11"/>
    <mergeCell ref="J9:J11"/>
    <mergeCell ref="F9:F11"/>
    <mergeCell ref="Q9:Q11"/>
    <mergeCell ref="B9:B11"/>
    <mergeCell ref="C9:C11"/>
    <mergeCell ref="C50:C54"/>
    <mergeCell ref="C13:C14"/>
    <mergeCell ref="C17:C18"/>
    <mergeCell ref="C22:C24"/>
    <mergeCell ref="C29:C37"/>
    <mergeCell ref="C46:C47"/>
    <mergeCell ref="C41:C42"/>
    <mergeCell ref="D9:D11"/>
    <mergeCell ref="Y9:Z9"/>
    <mergeCell ref="Y10:Y11"/>
    <mergeCell ref="Z10:Z11"/>
    <mergeCell ref="L9:L11"/>
    <mergeCell ref="M9:M11"/>
    <mergeCell ref="N9:N11"/>
    <mergeCell ref="O9:O11"/>
    <mergeCell ref="P9:P11"/>
    <mergeCell ref="X9:X11"/>
    <mergeCell ref="W9:W11"/>
    <mergeCell ref="R10:S10"/>
    <mergeCell ref="T10:T11"/>
    <mergeCell ref="U10:U11"/>
    <mergeCell ref="E9:E11"/>
    <mergeCell ref="G9:G11"/>
  </mergeCells>
  <pageMargins left="0.118110236220472" right="0.118110236220472" top="0.15748031496063" bottom="0.15748031496063" header="0.31496062992126" footer="0.31496062992126"/>
  <pageSetup paperSize="8" scale="37" fitToHeight="0" orientation="landscape" r:id="rId21"/>
  <legacy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vt:i4>
      </vt:variant>
      <vt:variant>
        <vt:lpstr>Named Ranges</vt:lpstr>
      </vt:variant>
      <vt:variant>
        <vt:i4>1</vt:i4>
      </vt:variant>
    </vt:vector>
  </HeadingPairs>
  <TitlesOfParts>
    <vt:vector size="3" baseType="lpstr">
      <vt:lpstr>Contracte semnate</vt:lpstr>
      <vt:lpstr>Chart2</vt:lpstr>
      <vt:lpstr>'Contracte semnate'!SPBookmark_Regiune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Mirela Cosovan</cp:lastModifiedBy>
  <cp:lastPrinted>2018-02-07T12:08:48Z</cp:lastPrinted>
  <dcterms:created xsi:type="dcterms:W3CDTF">2016-07-18T10:59:34Z</dcterms:created>
  <dcterms:modified xsi:type="dcterms:W3CDTF">2018-02-07T12:09:10Z</dcterms:modified>
</cp:coreProperties>
</file>